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ampeonatos\79º Campeonato\"/>
    </mc:Choice>
  </mc:AlternateContent>
  <xr:revisionPtr revIDLastSave="0" documentId="13_ncr:1_{4D800BB6-4E58-490B-BD3E-698AF79F3A22}" xr6:coauthVersionLast="43" xr6:coauthVersionMax="43" xr10:uidLastSave="{00000000-0000-0000-0000-000000000000}"/>
  <bookViews>
    <workbookView xWindow="-120" yWindow="-120" windowWidth="38640" windowHeight="15525" firstSheet="1" activeTab="1" xr2:uid="{00000000-000D-0000-FFFF-FFFF00000000}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TABELA 11X11" sheetId="11" state="hidden" r:id="rId6"/>
    <sheet name="Lista" sheetId="10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27" i="8" l="1"/>
  <c r="Q26" i="8"/>
  <c r="Q25" i="8"/>
  <c r="Q24" i="8"/>
  <c r="Q23" i="8"/>
  <c r="Q22" i="8"/>
  <c r="Q21" i="8"/>
  <c r="Q20" i="8"/>
  <c r="Q19" i="8"/>
  <c r="Q18" i="8"/>
  <c r="Q17" i="8"/>
  <c r="P27" i="8"/>
  <c r="P26" i="8"/>
  <c r="P25" i="8"/>
  <c r="P24" i="8"/>
  <c r="P23" i="8"/>
  <c r="P22" i="8"/>
  <c r="P21" i="8"/>
  <c r="P20" i="8"/>
  <c r="P19" i="8"/>
  <c r="P18" i="8"/>
  <c r="P17" i="8"/>
  <c r="V30" i="4"/>
  <c r="W22" i="8" s="1"/>
  <c r="M120" i="5"/>
  <c r="M122" i="5"/>
  <c r="M124" i="5"/>
  <c r="M126" i="5"/>
  <c r="M128" i="5"/>
  <c r="M130" i="5"/>
  <c r="M132" i="5"/>
  <c r="M134" i="5"/>
  <c r="M136" i="5"/>
  <c r="M138" i="5"/>
  <c r="M140" i="5"/>
  <c r="U30" i="4"/>
  <c r="V22" i="8" s="1"/>
  <c r="V35" i="4"/>
  <c r="W27" i="8" s="1"/>
  <c r="V34" i="4"/>
  <c r="W26" i="8" s="1"/>
  <c r="V33" i="4"/>
  <c r="W25" i="8" s="1"/>
  <c r="V32" i="4"/>
  <c r="W24" i="8" s="1"/>
  <c r="V31" i="4"/>
  <c r="W23" i="8" s="1"/>
  <c r="V29" i="4"/>
  <c r="W21" i="8" s="1"/>
  <c r="V28" i="4"/>
  <c r="W20" i="8" s="1"/>
  <c r="V27" i="4"/>
  <c r="W19" i="8" s="1"/>
  <c r="V26" i="4"/>
  <c r="W18" i="8" s="1"/>
  <c r="V25" i="4"/>
  <c r="W17" i="8" s="1"/>
  <c r="U25" i="4"/>
  <c r="V17" i="8" s="1"/>
  <c r="U35" i="4"/>
  <c r="V27" i="8" s="1"/>
  <c r="U34" i="4"/>
  <c r="V26" i="8" s="1"/>
  <c r="U33" i="4"/>
  <c r="V25" i="8" s="1"/>
  <c r="U32" i="4"/>
  <c r="V24" i="8" s="1"/>
  <c r="T32" i="4"/>
  <c r="U24" i="8" s="1"/>
  <c r="U31" i="4"/>
  <c r="V23" i="8" s="1"/>
  <c r="U29" i="4"/>
  <c r="V21" i="8" s="1"/>
  <c r="U28" i="4"/>
  <c r="V20" i="8" s="1"/>
  <c r="U27" i="4"/>
  <c r="V19" i="8" s="1"/>
  <c r="U26" i="4"/>
  <c r="V18" i="8" s="1"/>
  <c r="T35" i="4"/>
  <c r="U27" i="8" s="1"/>
  <c r="T34" i="4"/>
  <c r="U26" i="8" s="1"/>
  <c r="T33" i="4"/>
  <c r="U25" i="8" s="1"/>
  <c r="T31" i="4"/>
  <c r="U23" i="8" s="1"/>
  <c r="T30" i="4"/>
  <c r="U22" i="8" s="1"/>
  <c r="T29" i="4"/>
  <c r="U21" i="8" s="1"/>
  <c r="T28" i="4"/>
  <c r="U20" i="8" s="1"/>
  <c r="T27" i="4"/>
  <c r="U19" i="8" s="1"/>
  <c r="T26" i="4"/>
  <c r="U18" i="8" s="1"/>
  <c r="R35" i="4"/>
  <c r="S27" i="8" s="1"/>
  <c r="R34" i="4"/>
  <c r="S26" i="8" s="1"/>
  <c r="R33" i="4"/>
  <c r="S25" i="8" s="1"/>
  <c r="R32" i="4"/>
  <c r="S24" i="8" s="1"/>
  <c r="R31" i="4"/>
  <c r="S23" i="8" s="1"/>
  <c r="R30" i="4"/>
  <c r="S22" i="8" s="1"/>
  <c r="R29" i="4"/>
  <c r="S21" i="8" s="1"/>
  <c r="R28" i="4"/>
  <c r="S20" i="8" s="1"/>
  <c r="R27" i="4"/>
  <c r="S19" i="8" s="1"/>
  <c r="R25" i="4"/>
  <c r="S17" i="8" s="1"/>
  <c r="R26" i="4"/>
  <c r="S18" i="8" s="1"/>
  <c r="Q35" i="4"/>
  <c r="R27" i="8" s="1"/>
  <c r="Q34" i="4"/>
  <c r="R26" i="8" s="1"/>
  <c r="Q33" i="4"/>
  <c r="R25" i="8" s="1"/>
  <c r="Q32" i="4"/>
  <c r="R24" i="8" s="1"/>
  <c r="Q31" i="4"/>
  <c r="R23" i="8" s="1"/>
  <c r="I128" i="5"/>
  <c r="Q30" i="4"/>
  <c r="R22" i="8" s="1"/>
  <c r="Q25" i="4"/>
  <c r="R17" i="8" s="1"/>
  <c r="Q29" i="4"/>
  <c r="R21" i="8" s="1"/>
  <c r="Q28" i="4"/>
  <c r="R20" i="8" s="1"/>
  <c r="Q27" i="4"/>
  <c r="R19" i="8" s="1"/>
  <c r="F11" i="5"/>
  <c r="F13" i="5"/>
  <c r="Q26" i="4"/>
  <c r="R18" i="8" s="1"/>
  <c r="V19" i="4"/>
  <c r="V18" i="4"/>
  <c r="V17" i="4"/>
  <c r="V16" i="4"/>
  <c r="V15" i="4"/>
  <c r="V14" i="4"/>
  <c r="V13" i="4"/>
  <c r="V12" i="4"/>
  <c r="V11" i="4"/>
  <c r="V10" i="4"/>
  <c r="V9" i="4"/>
  <c r="U19" i="4"/>
  <c r="U18" i="4"/>
  <c r="U17" i="4"/>
  <c r="U16" i="4"/>
  <c r="U15" i="4"/>
  <c r="U14" i="4"/>
  <c r="U13" i="4"/>
  <c r="U12" i="4"/>
  <c r="U11" i="4"/>
  <c r="U10" i="4"/>
  <c r="U9" i="4"/>
  <c r="T9" i="4"/>
  <c r="R19" i="4"/>
  <c r="R18" i="4"/>
  <c r="R17" i="4"/>
  <c r="R16" i="4"/>
  <c r="R15" i="4"/>
  <c r="R14" i="4"/>
  <c r="R13" i="4"/>
  <c r="R12" i="4"/>
  <c r="R11" i="4"/>
  <c r="R10" i="4"/>
  <c r="R9" i="4"/>
  <c r="Q19" i="4"/>
  <c r="Q18" i="4"/>
  <c r="Q17" i="4"/>
  <c r="Q16" i="4"/>
  <c r="Q15" i="4"/>
  <c r="Q14" i="4"/>
  <c r="Q13" i="4"/>
  <c r="Q12" i="4"/>
  <c r="Q11" i="4"/>
  <c r="Q10" i="4"/>
  <c r="Q9" i="4"/>
  <c r="T25" i="4"/>
  <c r="U17" i="8" s="1"/>
  <c r="I138" i="5"/>
  <c r="I136" i="5"/>
  <c r="I134" i="5"/>
  <c r="I132" i="5"/>
  <c r="I130" i="5"/>
  <c r="I126" i="5"/>
  <c r="I124" i="5"/>
  <c r="I122" i="5"/>
  <c r="I120" i="5"/>
  <c r="M108" i="5"/>
  <c r="M106" i="5"/>
  <c r="M104" i="5"/>
  <c r="M102" i="5"/>
  <c r="M100" i="5"/>
  <c r="M98" i="5"/>
  <c r="M96" i="5"/>
  <c r="M94" i="5"/>
  <c r="M92" i="5"/>
  <c r="I78" i="5"/>
  <c r="I76" i="5"/>
  <c r="I74" i="5"/>
  <c r="I72" i="5"/>
  <c r="I70" i="5"/>
  <c r="I68" i="5"/>
  <c r="I66" i="5"/>
  <c r="I64" i="5"/>
  <c r="M48" i="5"/>
  <c r="M46" i="5"/>
  <c r="M44" i="5"/>
  <c r="M42" i="5"/>
  <c r="M40" i="5"/>
  <c r="M38" i="5"/>
  <c r="M36" i="5"/>
  <c r="I19" i="5"/>
  <c r="I17" i="5"/>
  <c r="I15" i="5"/>
  <c r="I13" i="5"/>
  <c r="I11" i="5"/>
  <c r="I9" i="5"/>
  <c r="B156" i="5"/>
  <c r="B154" i="5"/>
  <c r="B152" i="5"/>
  <c r="B150" i="5"/>
  <c r="B148" i="5"/>
  <c r="F126" i="5"/>
  <c r="F124" i="5"/>
  <c r="F122" i="5"/>
  <c r="F120" i="5"/>
  <c r="B96" i="5"/>
  <c r="B94" i="5"/>
  <c r="B92" i="5"/>
  <c r="F66" i="5"/>
  <c r="F64" i="5"/>
  <c r="B36" i="5"/>
  <c r="F9" i="5"/>
  <c r="B29" i="5"/>
  <c r="F29" i="5"/>
  <c r="I29" i="5"/>
  <c r="M29" i="5"/>
  <c r="B38" i="5"/>
  <c r="B40" i="5"/>
  <c r="B42" i="5"/>
  <c r="B44" i="5"/>
  <c r="B46" i="5"/>
  <c r="B48" i="5"/>
  <c r="B50" i="5"/>
  <c r="B52" i="5"/>
  <c r="B54" i="5"/>
  <c r="B56" i="5"/>
  <c r="F36" i="5"/>
  <c r="I36" i="5"/>
  <c r="CA27" i="8" l="1"/>
  <c r="CA26" i="8"/>
  <c r="CA24" i="8"/>
  <c r="CA23" i="8"/>
  <c r="CA22" i="8"/>
  <c r="CA21" i="8"/>
  <c r="CA20" i="8"/>
  <c r="CA19" i="8"/>
  <c r="CA18" i="8"/>
  <c r="CA17" i="8"/>
  <c r="Q16" i="8"/>
  <c r="Q15" i="8"/>
  <c r="Q14" i="8"/>
  <c r="Q13" i="8"/>
  <c r="Q12" i="8"/>
  <c r="Q11" i="8"/>
  <c r="Q10" i="8"/>
  <c r="Q9" i="8"/>
  <c r="Q8" i="8"/>
  <c r="Q7" i="8"/>
  <c r="Q6" i="8"/>
  <c r="CA25" i="8"/>
  <c r="P15" i="8"/>
  <c r="P16" i="8"/>
  <c r="U206" i="5"/>
  <c r="U205" i="5"/>
  <c r="U204" i="5"/>
  <c r="U203" i="5"/>
  <c r="U202" i="5"/>
  <c r="U201" i="5"/>
  <c r="U200" i="5"/>
  <c r="U199" i="5"/>
  <c r="U198" i="5"/>
  <c r="U197" i="5"/>
  <c r="U196" i="5"/>
  <c r="U191" i="5"/>
  <c r="U190" i="5"/>
  <c r="U189" i="5"/>
  <c r="U188" i="5"/>
  <c r="U187" i="5"/>
  <c r="U186" i="5"/>
  <c r="U185" i="5"/>
  <c r="U184" i="5"/>
  <c r="U183" i="5"/>
  <c r="U182" i="5"/>
  <c r="U181" i="5"/>
  <c r="S206" i="5" l="1"/>
  <c r="S205" i="5"/>
  <c r="S204" i="5"/>
  <c r="S203" i="5"/>
  <c r="S202" i="5"/>
  <c r="S201" i="5"/>
  <c r="S200" i="5"/>
  <c r="S199" i="5"/>
  <c r="S198" i="5"/>
  <c r="S197" i="5"/>
  <c r="S196" i="5"/>
  <c r="S191" i="5"/>
  <c r="S190" i="5"/>
  <c r="S189" i="5"/>
  <c r="S188" i="5"/>
  <c r="S187" i="5"/>
  <c r="S186" i="5"/>
  <c r="S185" i="5"/>
  <c r="S184" i="5"/>
  <c r="S183" i="5"/>
  <c r="S182" i="5"/>
  <c r="S181" i="5"/>
  <c r="W281" i="5"/>
  <c r="BQ34" i="8" s="1"/>
  <c r="V281" i="5"/>
  <c r="BP34" i="8" s="1"/>
  <c r="U281" i="5"/>
  <c r="BO34" i="8" s="1"/>
  <c r="S281" i="5"/>
  <c r="BM34" i="8" s="1"/>
  <c r="R281" i="5"/>
  <c r="BL34" i="8" s="1"/>
  <c r="W280" i="5"/>
  <c r="BQ33" i="8" s="1"/>
  <c r="V280" i="5"/>
  <c r="U280" i="5"/>
  <c r="BO33" i="8" s="1"/>
  <c r="S280" i="5"/>
  <c r="BM33" i="8" s="1"/>
  <c r="R280" i="5"/>
  <c r="W272" i="5"/>
  <c r="BQ32" i="8" s="1"/>
  <c r="V272" i="5"/>
  <c r="BP32" i="8" s="1"/>
  <c r="U272" i="5"/>
  <c r="BO32" i="8" s="1"/>
  <c r="S272" i="5"/>
  <c r="BM32" i="8" s="1"/>
  <c r="R272" i="5"/>
  <c r="BL32" i="8" s="1"/>
  <c r="W271" i="5"/>
  <c r="BQ31" i="8" s="1"/>
  <c r="V271" i="5"/>
  <c r="BP31" i="8" s="1"/>
  <c r="U271" i="5"/>
  <c r="BO31" i="8" s="1"/>
  <c r="S271" i="5"/>
  <c r="BM31" i="8" s="1"/>
  <c r="R271" i="5"/>
  <c r="BL31" i="8" s="1"/>
  <c r="W263" i="5"/>
  <c r="BE34" i="8" s="1"/>
  <c r="V263" i="5"/>
  <c r="BD34" i="8" s="1"/>
  <c r="U263" i="5"/>
  <c r="BC34" i="8" s="1"/>
  <c r="S263" i="5"/>
  <c r="BA34" i="8" s="1"/>
  <c r="R263" i="5"/>
  <c r="AZ34" i="8" s="1"/>
  <c r="W262" i="5"/>
  <c r="BE33" i="8" s="1"/>
  <c r="V262" i="5"/>
  <c r="BD33" i="8" s="1"/>
  <c r="U262" i="5"/>
  <c r="BC33" i="8" s="1"/>
  <c r="S262" i="5"/>
  <c r="BA33" i="8" s="1"/>
  <c r="R262" i="5"/>
  <c r="AZ33" i="8" s="1"/>
  <c r="W261" i="5"/>
  <c r="BE32" i="8" s="1"/>
  <c r="V261" i="5"/>
  <c r="BD32" i="8" s="1"/>
  <c r="U261" i="5"/>
  <c r="BC32" i="8" s="1"/>
  <c r="S261" i="5"/>
  <c r="BA32" i="8" s="1"/>
  <c r="R261" i="5"/>
  <c r="AZ32" i="8" s="1"/>
  <c r="W260" i="5"/>
  <c r="BE31" i="8" s="1"/>
  <c r="V260" i="5"/>
  <c r="BD31" i="8" s="1"/>
  <c r="U260" i="5"/>
  <c r="BC31" i="8" s="1"/>
  <c r="S260" i="5"/>
  <c r="BA31" i="8" s="1"/>
  <c r="R260" i="5"/>
  <c r="AZ31" i="8" s="1"/>
  <c r="W250" i="5"/>
  <c r="AT39" i="8" s="1"/>
  <c r="V250" i="5"/>
  <c r="U250" i="5"/>
  <c r="AR39" i="8" s="1"/>
  <c r="S250" i="5"/>
  <c r="AP39" i="8" s="1"/>
  <c r="R250" i="5"/>
  <c r="AO39" i="8" s="1"/>
  <c r="W249" i="5"/>
  <c r="AT38" i="8" s="1"/>
  <c r="V249" i="5"/>
  <c r="AS38" i="8" s="1"/>
  <c r="U249" i="5"/>
  <c r="AR38" i="8" s="1"/>
  <c r="S249" i="5"/>
  <c r="AP38" i="8" s="1"/>
  <c r="R249" i="5"/>
  <c r="AO38" i="8" s="1"/>
  <c r="W248" i="5"/>
  <c r="AT37" i="8" s="1"/>
  <c r="V248" i="5"/>
  <c r="AS37" i="8" s="1"/>
  <c r="U248" i="5"/>
  <c r="AR37" i="8" s="1"/>
  <c r="S248" i="5"/>
  <c r="AP37" i="8" s="1"/>
  <c r="R248" i="5"/>
  <c r="AO37" i="8" s="1"/>
  <c r="W247" i="5"/>
  <c r="AT36" i="8" s="1"/>
  <c r="V247" i="5"/>
  <c r="AS36" i="8" s="1"/>
  <c r="U247" i="5"/>
  <c r="AR36" i="8" s="1"/>
  <c r="S247" i="5"/>
  <c r="AP36" i="8" s="1"/>
  <c r="R247" i="5"/>
  <c r="AO36" i="8" s="1"/>
  <c r="W246" i="5"/>
  <c r="AT35" i="8" s="1"/>
  <c r="V246" i="5"/>
  <c r="AS35" i="8" s="1"/>
  <c r="U246" i="5"/>
  <c r="AR35" i="8" s="1"/>
  <c r="S246" i="5"/>
  <c r="AP35" i="8" s="1"/>
  <c r="R246" i="5"/>
  <c r="AO35" i="8" s="1"/>
  <c r="W245" i="5"/>
  <c r="AT34" i="8" s="1"/>
  <c r="V245" i="5"/>
  <c r="AS34" i="8" s="1"/>
  <c r="U245" i="5"/>
  <c r="AR34" i="8" s="1"/>
  <c r="S245" i="5"/>
  <c r="AP34" i="8" s="1"/>
  <c r="R245" i="5"/>
  <c r="AO34" i="8" s="1"/>
  <c r="W244" i="5"/>
  <c r="AT33" i="8" s="1"/>
  <c r="V244" i="5"/>
  <c r="AS33" i="8" s="1"/>
  <c r="U244" i="5"/>
  <c r="AR33" i="8" s="1"/>
  <c r="S244" i="5"/>
  <c r="AP33" i="8" s="1"/>
  <c r="R244" i="5"/>
  <c r="AO33" i="8" s="1"/>
  <c r="W243" i="5"/>
  <c r="AT32" i="8" s="1"/>
  <c r="V243" i="5"/>
  <c r="AS32" i="8" s="1"/>
  <c r="U243" i="5"/>
  <c r="AR32" i="8" s="1"/>
  <c r="S243" i="5"/>
  <c r="AP32" i="8" s="1"/>
  <c r="R243" i="5"/>
  <c r="AO32" i="8" s="1"/>
  <c r="A235" i="5"/>
  <c r="A232" i="5"/>
  <c r="W230" i="5"/>
  <c r="AI47" i="8" s="1"/>
  <c r="V230" i="5"/>
  <c r="AH47" i="8" s="1"/>
  <c r="U230" i="5"/>
  <c r="AG47" i="8" s="1"/>
  <c r="S230" i="5"/>
  <c r="AE47" i="8" s="1"/>
  <c r="R230" i="5"/>
  <c r="AD47" i="8" s="1"/>
  <c r="W229" i="5"/>
  <c r="AI46" i="8" s="1"/>
  <c r="V229" i="5"/>
  <c r="AH46" i="8" s="1"/>
  <c r="U229" i="5"/>
  <c r="AG46" i="8" s="1"/>
  <c r="S229" i="5"/>
  <c r="AE46" i="8" s="1"/>
  <c r="R229" i="5"/>
  <c r="AD46" i="8" s="1"/>
  <c r="W228" i="5"/>
  <c r="AI45" i="8" s="1"/>
  <c r="V228" i="5"/>
  <c r="AH45" i="8" s="1"/>
  <c r="U228" i="5"/>
  <c r="AG45" i="8" s="1"/>
  <c r="S228" i="5"/>
  <c r="AE45" i="8" s="1"/>
  <c r="R228" i="5"/>
  <c r="AD45" i="8" s="1"/>
  <c r="W227" i="5"/>
  <c r="AI44" i="8" s="1"/>
  <c r="V227" i="5"/>
  <c r="AH44" i="8" s="1"/>
  <c r="U227" i="5"/>
  <c r="AG44" i="8" s="1"/>
  <c r="S227" i="5"/>
  <c r="AE44" i="8" s="1"/>
  <c r="R227" i="5"/>
  <c r="AD44" i="8" s="1"/>
  <c r="W226" i="5"/>
  <c r="AI43" i="8" s="1"/>
  <c r="V226" i="5"/>
  <c r="AH43" i="8" s="1"/>
  <c r="U226" i="5"/>
  <c r="AG43" i="8" s="1"/>
  <c r="S226" i="5"/>
  <c r="AE43" i="8" s="1"/>
  <c r="R226" i="5"/>
  <c r="AD43" i="8" s="1"/>
  <c r="W225" i="5"/>
  <c r="AI42" i="8" s="1"/>
  <c r="V225" i="5"/>
  <c r="AH42" i="8" s="1"/>
  <c r="U225" i="5"/>
  <c r="AG42" i="8" s="1"/>
  <c r="S225" i="5"/>
  <c r="AE42" i="8" s="1"/>
  <c r="R225" i="5"/>
  <c r="AD42" i="8" s="1"/>
  <c r="W224" i="5"/>
  <c r="AI41" i="8" s="1"/>
  <c r="V224" i="5"/>
  <c r="U224" i="5"/>
  <c r="AG41" i="8" s="1"/>
  <c r="S224" i="5"/>
  <c r="AE41" i="8" s="1"/>
  <c r="R224" i="5"/>
  <c r="AD41" i="8" s="1"/>
  <c r="W223" i="5"/>
  <c r="AI40" i="8" s="1"/>
  <c r="V223" i="5"/>
  <c r="AH40" i="8" s="1"/>
  <c r="U223" i="5"/>
  <c r="AG40" i="8" s="1"/>
  <c r="S223" i="5"/>
  <c r="AE40" i="8" s="1"/>
  <c r="R223" i="5"/>
  <c r="AD40" i="8" s="1"/>
  <c r="A223" i="5"/>
  <c r="W222" i="5"/>
  <c r="AI39" i="8" s="1"/>
  <c r="V222" i="5"/>
  <c r="AH39" i="8" s="1"/>
  <c r="U222" i="5"/>
  <c r="AG39" i="8" s="1"/>
  <c r="S222" i="5"/>
  <c r="AE39" i="8" s="1"/>
  <c r="R222" i="5"/>
  <c r="AD39" i="8" s="1"/>
  <c r="W221" i="5"/>
  <c r="AI38" i="8" s="1"/>
  <c r="V221" i="5"/>
  <c r="U221" i="5"/>
  <c r="AG38" i="8" s="1"/>
  <c r="S221" i="5"/>
  <c r="AE38" i="8" s="1"/>
  <c r="R221" i="5"/>
  <c r="AD38" i="8" s="1"/>
  <c r="W220" i="5"/>
  <c r="AI37" i="8" s="1"/>
  <c r="V220" i="5"/>
  <c r="AH37" i="8" s="1"/>
  <c r="U220" i="5"/>
  <c r="AG37" i="8" s="1"/>
  <c r="S220" i="5"/>
  <c r="AE37" i="8" s="1"/>
  <c r="R220" i="5"/>
  <c r="AD37" i="8" s="1"/>
  <c r="A220" i="5"/>
  <c r="W219" i="5"/>
  <c r="AI36" i="8" s="1"/>
  <c r="V219" i="5"/>
  <c r="AH36" i="8" s="1"/>
  <c r="U219" i="5"/>
  <c r="AG36" i="8" s="1"/>
  <c r="S219" i="5"/>
  <c r="AE36" i="8" s="1"/>
  <c r="R219" i="5"/>
  <c r="AD36" i="8" s="1"/>
  <c r="W218" i="5"/>
  <c r="AI35" i="8" s="1"/>
  <c r="V218" i="5"/>
  <c r="AH35" i="8" s="1"/>
  <c r="U218" i="5"/>
  <c r="AG35" i="8" s="1"/>
  <c r="S218" i="5"/>
  <c r="AE35" i="8" s="1"/>
  <c r="R218" i="5"/>
  <c r="AD35" i="8" s="1"/>
  <c r="W217" i="5"/>
  <c r="AI34" i="8" s="1"/>
  <c r="V217" i="5"/>
  <c r="AH34" i="8" s="1"/>
  <c r="U217" i="5"/>
  <c r="AG34" i="8" s="1"/>
  <c r="S217" i="5"/>
  <c r="AE34" i="8" s="1"/>
  <c r="R217" i="5"/>
  <c r="AD34" i="8" s="1"/>
  <c r="G217" i="5"/>
  <c r="A217" i="5"/>
  <c r="W216" i="5"/>
  <c r="AI33" i="8" s="1"/>
  <c r="V216" i="5"/>
  <c r="AH33" i="8" s="1"/>
  <c r="U216" i="5"/>
  <c r="AG33" i="8" s="1"/>
  <c r="S216" i="5"/>
  <c r="AE33" i="8" s="1"/>
  <c r="R216" i="5"/>
  <c r="AD33" i="8" s="1"/>
  <c r="W215" i="5"/>
  <c r="AI32" i="8" s="1"/>
  <c r="V215" i="5"/>
  <c r="AH32" i="8" s="1"/>
  <c r="U215" i="5"/>
  <c r="AG32" i="8" s="1"/>
  <c r="S215" i="5"/>
  <c r="AE32" i="8" s="1"/>
  <c r="R215" i="5"/>
  <c r="AD32" i="8" s="1"/>
  <c r="G214" i="5"/>
  <c r="A214" i="5"/>
  <c r="X280" i="5" l="1"/>
  <c r="BR33" i="8" s="1"/>
  <c r="BP33" i="8"/>
  <c r="X221" i="5"/>
  <c r="AJ38" i="8" s="1"/>
  <c r="AH38" i="8"/>
  <c r="X224" i="5"/>
  <c r="AJ41" i="8" s="1"/>
  <c r="AH41" i="8"/>
  <c r="X250" i="5"/>
  <c r="AU39" i="8" s="1"/>
  <c r="AS39" i="8"/>
  <c r="T280" i="5"/>
  <c r="BL33" i="8"/>
  <c r="X228" i="5"/>
  <c r="AJ45" i="8" s="1"/>
  <c r="X215" i="5"/>
  <c r="AJ32" i="8" s="1"/>
  <c r="T219" i="5"/>
  <c r="X243" i="5"/>
  <c r="AU32" i="8" s="1"/>
  <c r="X281" i="5"/>
  <c r="BR34" i="8" s="1"/>
  <c r="T261" i="5"/>
  <c r="X262" i="5"/>
  <c r="BF33" i="8" s="1"/>
  <c r="X219" i="5"/>
  <c r="AJ36" i="8" s="1"/>
  <c r="T222" i="5"/>
  <c r="X217" i="5"/>
  <c r="AJ34" i="8" s="1"/>
  <c r="X218" i="5"/>
  <c r="AJ35" i="8" s="1"/>
  <c r="T229" i="5"/>
  <c r="T216" i="5"/>
  <c r="T218" i="5"/>
  <c r="AF35" i="8" s="1"/>
  <c r="X223" i="5"/>
  <c r="AJ40" i="8" s="1"/>
  <c r="X227" i="5"/>
  <c r="AJ44" i="8" s="1"/>
  <c r="X272" i="5"/>
  <c r="BR32" i="8" s="1"/>
  <c r="T249" i="5"/>
  <c r="AQ38" i="8" s="1"/>
  <c r="T260" i="5"/>
  <c r="T262" i="5"/>
  <c r="BB33" i="8" s="1"/>
  <c r="X263" i="5"/>
  <c r="BF34" i="8" s="1"/>
  <c r="T246" i="5"/>
  <c r="X247" i="5"/>
  <c r="AU36" i="8" s="1"/>
  <c r="T250" i="5"/>
  <c r="X260" i="5"/>
  <c r="BF31" i="8" s="1"/>
  <c r="X271" i="5"/>
  <c r="BR31" i="8" s="1"/>
  <c r="X226" i="5"/>
  <c r="AJ43" i="8" s="1"/>
  <c r="X220" i="5"/>
  <c r="AJ37" i="8" s="1"/>
  <c r="T227" i="5"/>
  <c r="T230" i="5"/>
  <c r="T243" i="5"/>
  <c r="X244" i="5"/>
  <c r="AU33" i="8" s="1"/>
  <c r="T263" i="5"/>
  <c r="T272" i="5"/>
  <c r="X230" i="5"/>
  <c r="AJ47" i="8" s="1"/>
  <c r="X222" i="5"/>
  <c r="AJ39" i="8" s="1"/>
  <c r="X225" i="5"/>
  <c r="AJ42" i="8" s="1"/>
  <c r="X229" i="5"/>
  <c r="AJ46" i="8" s="1"/>
  <c r="T245" i="5"/>
  <c r="X246" i="5"/>
  <c r="AU35" i="8" s="1"/>
  <c r="T247" i="5"/>
  <c r="X248" i="5"/>
  <c r="AU37" i="8" s="1"/>
  <c r="X261" i="5"/>
  <c r="BF32" i="8" s="1"/>
  <c r="T271" i="5"/>
  <c r="T215" i="5"/>
  <c r="T220" i="5"/>
  <c r="T244" i="5"/>
  <c r="T248" i="5"/>
  <c r="T225" i="5"/>
  <c r="X216" i="5"/>
  <c r="AJ33" i="8" s="1"/>
  <c r="T217" i="5"/>
  <c r="T223" i="5"/>
  <c r="T226" i="5"/>
  <c r="T221" i="5"/>
  <c r="T224" i="5"/>
  <c r="T228" i="5"/>
  <c r="X245" i="5"/>
  <c r="AU34" i="8" s="1"/>
  <c r="X249" i="5"/>
  <c r="AU38" i="8" s="1"/>
  <c r="T281" i="5"/>
  <c r="Y262" i="5" l="1"/>
  <c r="BG33" i="8" s="1"/>
  <c r="Y224" i="5"/>
  <c r="AK41" i="8" s="1"/>
  <c r="AF41" i="8"/>
  <c r="Y225" i="5"/>
  <c r="AK42" i="8" s="1"/>
  <c r="AF42" i="8"/>
  <c r="Y247" i="5"/>
  <c r="AV36" i="8" s="1"/>
  <c r="AQ36" i="8"/>
  <c r="Y263" i="5"/>
  <c r="BG34" i="8" s="1"/>
  <c r="BB34" i="8"/>
  <c r="Y223" i="5"/>
  <c r="AK40" i="8" s="1"/>
  <c r="AF40" i="8"/>
  <c r="Y271" i="5"/>
  <c r="BS31" i="8" s="1"/>
  <c r="BN31" i="8"/>
  <c r="Y222" i="5"/>
  <c r="AK39" i="8" s="1"/>
  <c r="AF39" i="8"/>
  <c r="Y221" i="5"/>
  <c r="AK38" i="8" s="1"/>
  <c r="AF38" i="8"/>
  <c r="Y217" i="5"/>
  <c r="AK34" i="8" s="1"/>
  <c r="AF34" i="8"/>
  <c r="Y244" i="5"/>
  <c r="AV33" i="8" s="1"/>
  <c r="AQ33" i="8"/>
  <c r="Y245" i="5"/>
  <c r="AV34" i="8" s="1"/>
  <c r="AQ34" i="8"/>
  <c r="Y243" i="5"/>
  <c r="AV32" i="8" s="1"/>
  <c r="AQ32" i="8"/>
  <c r="Y218" i="5"/>
  <c r="AK35" i="8" s="1"/>
  <c r="Y250" i="5"/>
  <c r="AV39" i="8" s="1"/>
  <c r="AQ39" i="8"/>
  <c r="Y229" i="5"/>
  <c r="AK46" i="8" s="1"/>
  <c r="AF46" i="8"/>
  <c r="Y281" i="5"/>
  <c r="BS34" i="8" s="1"/>
  <c r="BN34" i="8"/>
  <c r="Y226" i="5"/>
  <c r="AK43" i="8" s="1"/>
  <c r="AF43" i="8"/>
  <c r="Y215" i="5"/>
  <c r="AK32" i="8" s="1"/>
  <c r="AF32" i="8"/>
  <c r="Y227" i="5"/>
  <c r="AK44" i="8" s="1"/>
  <c r="AF44" i="8"/>
  <c r="Y246" i="5"/>
  <c r="AV35" i="8" s="1"/>
  <c r="AQ35" i="8"/>
  <c r="Y261" i="5"/>
  <c r="BG32" i="8" s="1"/>
  <c r="BB32" i="8"/>
  <c r="Y248" i="5"/>
  <c r="AV37" i="8" s="1"/>
  <c r="AQ37" i="8"/>
  <c r="Y216" i="5"/>
  <c r="AK33" i="8" s="1"/>
  <c r="AF33" i="8"/>
  <c r="Y228" i="5"/>
  <c r="AK45" i="8" s="1"/>
  <c r="AF45" i="8"/>
  <c r="Y249" i="5"/>
  <c r="AV38" i="8" s="1"/>
  <c r="Y220" i="5"/>
  <c r="AK37" i="8" s="1"/>
  <c r="AF37" i="8"/>
  <c r="Y272" i="5"/>
  <c r="BS32" i="8" s="1"/>
  <c r="BN32" i="8"/>
  <c r="Y230" i="5"/>
  <c r="AK47" i="8" s="1"/>
  <c r="AF47" i="8"/>
  <c r="Y260" i="5"/>
  <c r="BG31" i="8" s="1"/>
  <c r="BB31" i="8"/>
  <c r="Y219" i="5"/>
  <c r="AK36" i="8" s="1"/>
  <c r="AF36" i="8"/>
  <c r="Y280" i="5"/>
  <c r="BS33" i="8" s="1"/>
  <c r="BN33" i="8"/>
  <c r="R16" i="8"/>
  <c r="R15" i="8"/>
  <c r="R14" i="8"/>
  <c r="R13" i="8"/>
  <c r="R12" i="8"/>
  <c r="R11" i="8"/>
  <c r="R10" i="8"/>
  <c r="R9" i="8"/>
  <c r="R8" i="8"/>
  <c r="R7" i="8"/>
  <c r="R6" i="8"/>
  <c r="W16" i="8"/>
  <c r="W15" i="8"/>
  <c r="W14" i="8"/>
  <c r="W13" i="8"/>
  <c r="W12" i="8"/>
  <c r="W11" i="8"/>
  <c r="W10" i="8"/>
  <c r="W9" i="8"/>
  <c r="V16" i="8"/>
  <c r="V15" i="8"/>
  <c r="V14" i="8"/>
  <c r="V13" i="8"/>
  <c r="V12" i="8"/>
  <c r="V11" i="8"/>
  <c r="V10" i="8"/>
  <c r="V9" i="8"/>
  <c r="T19" i="4"/>
  <c r="U16" i="8" s="1"/>
  <c r="T18" i="4"/>
  <c r="U15" i="8" s="1"/>
  <c r="T17" i="4"/>
  <c r="U14" i="8" s="1"/>
  <c r="T16" i="4"/>
  <c r="U13" i="8" s="1"/>
  <c r="T15" i="4"/>
  <c r="U12" i="8" s="1"/>
  <c r="T14" i="4"/>
  <c r="U11" i="8" s="1"/>
  <c r="T13" i="4"/>
  <c r="U10" i="8" s="1"/>
  <c r="T12" i="4"/>
  <c r="U9" i="8" s="1"/>
  <c r="S16" i="8"/>
  <c r="S15" i="8"/>
  <c r="S14" i="8"/>
  <c r="S13" i="8"/>
  <c r="S12" i="8"/>
  <c r="S11" i="8"/>
  <c r="S10" i="8"/>
  <c r="S9" i="8"/>
  <c r="W18" i="4" l="1"/>
  <c r="X15" i="8" s="1"/>
  <c r="W17" i="4"/>
  <c r="X14" i="8" s="1"/>
  <c r="W15" i="4"/>
  <c r="X12" i="8" s="1"/>
  <c r="W16" i="4"/>
  <c r="X13" i="8" s="1"/>
  <c r="W14" i="4"/>
  <c r="X11" i="8" s="1"/>
  <c r="W12" i="4"/>
  <c r="X9" i="8" s="1"/>
  <c r="W13" i="4"/>
  <c r="X10" i="8" s="1"/>
  <c r="W8" i="8"/>
  <c r="W7" i="8"/>
  <c r="V8" i="8"/>
  <c r="T11" i="4"/>
  <c r="U8" i="8" s="1"/>
  <c r="S8" i="8"/>
  <c r="V7" i="8"/>
  <c r="T10" i="4"/>
  <c r="U7" i="8" s="1"/>
  <c r="S7" i="8"/>
  <c r="U6" i="8"/>
  <c r="S6" i="8"/>
  <c r="W6" i="8"/>
  <c r="V6" i="8"/>
  <c r="S19" i="4"/>
  <c r="T16" i="8" s="1"/>
  <c r="S18" i="4"/>
  <c r="S17" i="4"/>
  <c r="S16" i="4"/>
  <c r="S15" i="4"/>
  <c r="S14" i="4"/>
  <c r="S13" i="4"/>
  <c r="S12" i="4"/>
  <c r="I140" i="5"/>
  <c r="M112" i="5"/>
  <c r="M110" i="5"/>
  <c r="I112" i="5"/>
  <c r="I110" i="5"/>
  <c r="I108" i="5"/>
  <c r="I106" i="5"/>
  <c r="I104" i="5"/>
  <c r="I102" i="5"/>
  <c r="I100" i="5"/>
  <c r="I98" i="5"/>
  <c r="I96" i="5"/>
  <c r="I94" i="5"/>
  <c r="I84" i="5"/>
  <c r="I82" i="5"/>
  <c r="I80" i="5"/>
  <c r="M84" i="5"/>
  <c r="M82" i="5"/>
  <c r="M80" i="5"/>
  <c r="M78" i="5"/>
  <c r="M76" i="5"/>
  <c r="M74" i="5"/>
  <c r="M72" i="5"/>
  <c r="M68" i="5"/>
  <c r="M66" i="5"/>
  <c r="M56" i="5"/>
  <c r="M54" i="5"/>
  <c r="M52" i="5"/>
  <c r="M50" i="5"/>
  <c r="I56" i="5"/>
  <c r="I54" i="5"/>
  <c r="I52" i="5"/>
  <c r="I50" i="5"/>
  <c r="I48" i="5"/>
  <c r="I46" i="5"/>
  <c r="I44" i="5"/>
  <c r="I42" i="5"/>
  <c r="I40" i="5"/>
  <c r="I38" i="5"/>
  <c r="I27" i="5"/>
  <c r="I25" i="5"/>
  <c r="I23" i="5"/>
  <c r="I21" i="5"/>
  <c r="M27" i="5"/>
  <c r="M25" i="5"/>
  <c r="M23" i="5"/>
  <c r="M21" i="5"/>
  <c r="M19" i="5"/>
  <c r="M17" i="5"/>
  <c r="M15" i="5"/>
  <c r="M13" i="5"/>
  <c r="M11" i="5"/>
  <c r="M9" i="5"/>
  <c r="B168" i="5"/>
  <c r="B166" i="5"/>
  <c r="B164" i="5"/>
  <c r="B162" i="5"/>
  <c r="B160" i="5"/>
  <c r="B158" i="5"/>
  <c r="F168" i="5"/>
  <c r="F166" i="5"/>
  <c r="F164" i="5"/>
  <c r="F162" i="5"/>
  <c r="F160" i="5"/>
  <c r="F158" i="5"/>
  <c r="F156" i="5"/>
  <c r="F154" i="5"/>
  <c r="F152" i="5"/>
  <c r="F150" i="5"/>
  <c r="F148" i="5"/>
  <c r="F140" i="5"/>
  <c r="F138" i="5"/>
  <c r="F136" i="5"/>
  <c r="F134" i="5"/>
  <c r="F132" i="5"/>
  <c r="F130" i="5"/>
  <c r="F128" i="5"/>
  <c r="B140" i="5"/>
  <c r="B138" i="5"/>
  <c r="B110" i="5"/>
  <c r="B108" i="5"/>
  <c r="B106" i="5"/>
  <c r="B104" i="5"/>
  <c r="B102" i="5"/>
  <c r="B100" i="5"/>
  <c r="B98" i="5"/>
  <c r="F112" i="5"/>
  <c r="F110" i="5"/>
  <c r="B112" i="5"/>
  <c r="F84" i="5"/>
  <c r="F82" i="5"/>
  <c r="F80" i="5"/>
  <c r="F78" i="5"/>
  <c r="F76" i="5"/>
  <c r="F74" i="5"/>
  <c r="F72" i="5"/>
  <c r="F70" i="5"/>
  <c r="F68" i="5"/>
  <c r="B84" i="5"/>
  <c r="B82" i="5"/>
  <c r="F56" i="5"/>
  <c r="F54" i="5"/>
  <c r="X12" i="4" l="1"/>
  <c r="Y9" i="8" s="1"/>
  <c r="T9" i="8"/>
  <c r="X13" i="4"/>
  <c r="Y10" i="8" s="1"/>
  <c r="T10" i="8"/>
  <c r="X17" i="4"/>
  <c r="Y14" i="8" s="1"/>
  <c r="T14" i="8"/>
  <c r="X15" i="4"/>
  <c r="Y12" i="8" s="1"/>
  <c r="T12" i="8"/>
  <c r="X16" i="4"/>
  <c r="Y13" i="8" s="1"/>
  <c r="T13" i="8"/>
  <c r="X14" i="4"/>
  <c r="Y11" i="8" s="1"/>
  <c r="T11" i="8"/>
  <c r="X18" i="4"/>
  <c r="Y15" i="8" s="1"/>
  <c r="T15" i="8"/>
  <c r="W10" i="4"/>
  <c r="X7" i="8" s="1"/>
  <c r="W11" i="4"/>
  <c r="X8" i="8" s="1"/>
  <c r="S11" i="4"/>
  <c r="S10" i="4"/>
  <c r="F27" i="5"/>
  <c r="B27" i="5"/>
  <c r="X10" i="4" l="1"/>
  <c r="Y7" i="8" s="1"/>
  <c r="T7" i="8"/>
  <c r="X11" i="4"/>
  <c r="Y8" i="8" s="1"/>
  <c r="T8" i="8"/>
  <c r="W34" i="4"/>
  <c r="X26" i="8" s="1"/>
  <c r="S34" i="4"/>
  <c r="W35" i="4"/>
  <c r="X27" i="8" s="1"/>
  <c r="S35" i="4"/>
  <c r="W19" i="4"/>
  <c r="X16" i="8" s="1"/>
  <c r="X19" i="4"/>
  <c r="X34" i="4" l="1"/>
  <c r="Y26" i="8" s="1"/>
  <c r="T26" i="8"/>
  <c r="X35" i="4"/>
  <c r="Y27" i="8" s="1"/>
  <c r="T27" i="8"/>
  <c r="Y16" i="8"/>
  <c r="AA19" i="4"/>
  <c r="T191" i="5" s="1"/>
  <c r="AA18" i="4"/>
  <c r="T190" i="5" s="1"/>
  <c r="AA35" i="4" l="1"/>
  <c r="T206" i="5" s="1"/>
  <c r="AA34" i="4"/>
  <c r="T205" i="5" s="1"/>
  <c r="P14" i="8"/>
  <c r="P13" i="8"/>
  <c r="P12" i="8"/>
  <c r="P11" i="8"/>
  <c r="P10" i="8"/>
  <c r="P9" i="8"/>
  <c r="P8" i="8"/>
  <c r="P7" i="8"/>
  <c r="P6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E11" i="10" l="1"/>
  <c r="H7" i="10"/>
  <c r="E9" i="10"/>
  <c r="E12" i="10"/>
  <c r="M70" i="5" l="1"/>
  <c r="I92" i="5"/>
  <c r="M64" i="5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72" i="5"/>
  <c r="B126" i="5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F96" i="5" l="1"/>
  <c r="BQ27" i="7"/>
  <c r="BE28" i="7"/>
  <c r="BQ26" i="7"/>
  <c r="AT31" i="7"/>
  <c r="F50" i="5"/>
  <c r="Q8" i="7"/>
  <c r="BZ8" i="7" s="1"/>
  <c r="Q20" i="7"/>
  <c r="BZ20" i="7" s="1"/>
  <c r="F42" i="5"/>
  <c r="B21" i="5"/>
  <c r="B78" i="5"/>
  <c r="B13" i="5"/>
  <c r="F17" i="5"/>
  <c r="F25" i="5"/>
  <c r="B132" i="5"/>
  <c r="Q16" i="7"/>
  <c r="BZ16" i="7" s="1"/>
  <c r="Q12" i="7"/>
  <c r="BZ12" i="7" s="1"/>
  <c r="F38" i="5"/>
  <c r="B124" i="5"/>
  <c r="F104" i="5"/>
  <c r="F19" i="5"/>
  <c r="Q15" i="7"/>
  <c r="BZ15" i="7" s="1"/>
  <c r="F52" i="5"/>
  <c r="Q10" i="7"/>
  <c r="BZ10" i="7" s="1"/>
  <c r="Q23" i="7"/>
  <c r="BZ23" i="7" s="1"/>
  <c r="B80" i="5"/>
  <c r="Q6" i="7"/>
  <c r="BZ6" i="7" s="1"/>
  <c r="Q11" i="7"/>
  <c r="BZ11" i="7" s="1"/>
  <c r="Q18" i="7"/>
  <c r="BZ18" i="7" s="1"/>
  <c r="B120" i="5"/>
  <c r="B9" i="5"/>
  <c r="F46" i="5"/>
  <c r="Q7" i="7"/>
  <c r="BZ7" i="7" s="1"/>
  <c r="Q19" i="7"/>
  <c r="BZ19" i="7" s="1"/>
  <c r="B70" i="5"/>
  <c r="Q9" i="7"/>
  <c r="BZ9" i="7" s="1"/>
  <c r="F98" i="5"/>
  <c r="Q13" i="7"/>
  <c r="BZ13" i="7" s="1"/>
  <c r="B134" i="5"/>
  <c r="B23" i="5"/>
  <c r="F106" i="5"/>
  <c r="Q17" i="7"/>
  <c r="BZ17" i="7" s="1"/>
  <c r="B15" i="5"/>
  <c r="F92" i="5"/>
  <c r="B64" i="5"/>
  <c r="F100" i="5"/>
  <c r="F108" i="5"/>
  <c r="Q14" i="7"/>
  <c r="BZ14" i="7" s="1"/>
  <c r="Q21" i="7"/>
  <c r="BZ21" i="7" s="1"/>
  <c r="BY10" i="7"/>
  <c r="F44" i="5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F21" i="5"/>
  <c r="F15" i="5"/>
  <c r="F23" i="5"/>
  <c r="F40" i="5"/>
  <c r="F48" i="5"/>
  <c r="B66" i="5"/>
  <c r="B74" i="5"/>
  <c r="F94" i="5"/>
  <c r="B68" i="5"/>
  <c r="B17" i="5"/>
  <c r="B128" i="5"/>
  <c r="F102" i="5"/>
  <c r="B76" i="5"/>
  <c r="B25" i="5"/>
  <c r="B136" i="5"/>
  <c r="B11" i="5"/>
  <c r="B122" i="5"/>
  <c r="B19" i="5"/>
  <c r="B130" i="5"/>
  <c r="S30" i="4"/>
  <c r="T22" i="8" s="1"/>
  <c r="S32" i="4"/>
  <c r="T24" i="8" s="1"/>
  <c r="W26" i="4"/>
  <c r="X18" i="8" s="1"/>
  <c r="W33" i="4"/>
  <c r="X25" i="8" s="1"/>
  <c r="S9" i="4"/>
  <c r="T6" i="8" s="1"/>
  <c r="S28" i="4"/>
  <c r="T20" i="8" s="1"/>
  <c r="W28" i="4"/>
  <c r="X20" i="8" s="1"/>
  <c r="S25" i="4"/>
  <c r="T17" i="8" s="1"/>
  <c r="S27" i="4"/>
  <c r="T19" i="8" s="1"/>
  <c r="W29" i="4"/>
  <c r="X21" i="8" s="1"/>
  <c r="S33" i="4"/>
  <c r="W32" i="4"/>
  <c r="X24" i="8" s="1"/>
  <c r="S31" i="4"/>
  <c r="T23" i="8" s="1"/>
  <c r="W31" i="4"/>
  <c r="X23" i="8" s="1"/>
  <c r="W30" i="4"/>
  <c r="X22" i="8" s="1"/>
  <c r="S29" i="4"/>
  <c r="T21" i="8" s="1"/>
  <c r="W27" i="4"/>
  <c r="X19" i="8" s="1"/>
  <c r="S26" i="4"/>
  <c r="T18" i="8" s="1"/>
  <c r="W9" i="4"/>
  <c r="X6" i="8" s="1"/>
  <c r="W25" i="4"/>
  <c r="X17" i="8" s="1"/>
  <c r="BP27" i="3"/>
  <c r="BP26" i="3"/>
  <c r="BO27" i="3"/>
  <c r="BO26" i="3"/>
  <c r="BN27" i="3"/>
  <c r="BN26" i="3"/>
  <c r="BL26" i="3"/>
  <c r="BK27" i="3"/>
  <c r="X33" i="4" l="1"/>
  <c r="Y25" i="8" s="1"/>
  <c r="T25" i="8"/>
  <c r="X27" i="4"/>
  <c r="Y19" i="8" s="1"/>
  <c r="X30" i="4"/>
  <c r="Y22" i="8" s="1"/>
  <c r="X28" i="4"/>
  <c r="Y20" i="8" s="1"/>
  <c r="X26" i="4"/>
  <c r="Y18" i="8" s="1"/>
  <c r="X32" i="4"/>
  <c r="Y24" i="8" s="1"/>
  <c r="X31" i="4"/>
  <c r="Y23" i="8" s="1"/>
  <c r="X29" i="4"/>
  <c r="Y21" i="8" s="1"/>
  <c r="X20" i="7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T19" i="7"/>
  <c r="T14" i="7"/>
  <c r="T17" i="7"/>
  <c r="T10" i="7"/>
  <c r="T12" i="7"/>
  <c r="T13" i="7"/>
  <c r="X25" i="4"/>
  <c r="Y17" i="8" s="1"/>
  <c r="T15" i="7"/>
  <c r="X9" i="4"/>
  <c r="Y6" i="8" s="1"/>
  <c r="T6" i="7"/>
  <c r="T20" i="7"/>
  <c r="T11" i="7"/>
  <c r="T21" i="7"/>
  <c r="T23" i="7"/>
  <c r="T7" i="7"/>
  <c r="T9" i="7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T16" i="7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16" i="7"/>
  <c r="Z16" i="7" s="1"/>
  <c r="Y9" i="7"/>
  <c r="Z9" i="7" s="1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AA25" i="4"/>
  <c r="T196" i="5" s="1"/>
  <c r="Y17" i="7"/>
  <c r="Z17" i="7" s="1"/>
  <c r="AA27" i="4"/>
  <c r="T198" i="5" s="1"/>
  <c r="Y6" i="7"/>
  <c r="Z6" i="7" s="1"/>
  <c r="AA30" i="4"/>
  <c r="T201" i="5" s="1"/>
  <c r="AA28" i="4"/>
  <c r="T199" i="5" s="1"/>
  <c r="AA31" i="4"/>
  <c r="T202" i="5" s="1"/>
  <c r="AA12" i="4"/>
  <c r="T184" i="5" s="1"/>
  <c r="AA10" i="4"/>
  <c r="T182" i="5" s="1"/>
  <c r="AA11" i="4"/>
  <c r="T183" i="5" s="1"/>
  <c r="AA32" i="4"/>
  <c r="T203" i="5" s="1"/>
  <c r="AA17" i="4"/>
  <c r="T189" i="5" s="1"/>
  <c r="AA16" i="4"/>
  <c r="T188" i="5" s="1"/>
  <c r="AA29" i="4"/>
  <c r="T200" i="5" s="1"/>
  <c r="AA33" i="4"/>
  <c r="T204" i="5" s="1"/>
  <c r="Y23" i="7"/>
  <c r="Z23" i="7" s="1"/>
  <c r="AA14" i="4"/>
  <c r="T186" i="5" s="1"/>
  <c r="Y11" i="7"/>
  <c r="Z11" i="7" s="1"/>
  <c r="AA15" i="4"/>
  <c r="T187" i="5" s="1"/>
  <c r="AA13" i="4"/>
  <c r="T185" i="5" s="1"/>
  <c r="AU30" i="7"/>
  <c r="BF27" i="7"/>
  <c r="AU34" i="7"/>
  <c r="AU32" i="7"/>
  <c r="AU28" i="7"/>
  <c r="AU27" i="7"/>
  <c r="BM26" i="3"/>
  <c r="AA26" i="4"/>
  <c r="T197" i="5" s="1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X196" i="5" l="1"/>
  <c r="AB196" i="5" s="1"/>
  <c r="I181" i="5" s="1"/>
  <c r="X206" i="5"/>
  <c r="AB206" i="5" s="1"/>
  <c r="X202" i="5"/>
  <c r="AB202" i="5" s="1"/>
  <c r="M184" i="5" s="1"/>
  <c r="X198" i="5"/>
  <c r="AB198" i="5" s="1"/>
  <c r="I187" i="5" s="1"/>
  <c r="X199" i="5"/>
  <c r="AB199" i="5" s="1"/>
  <c r="I190" i="5" s="1"/>
  <c r="X205" i="5"/>
  <c r="AB205" i="5" s="1"/>
  <c r="X201" i="5"/>
  <c r="AB201" i="5" s="1"/>
  <c r="M187" i="5" s="1"/>
  <c r="X197" i="5"/>
  <c r="AB197" i="5" s="1"/>
  <c r="I184" i="5" s="1"/>
  <c r="X204" i="5"/>
  <c r="AB204" i="5" s="1"/>
  <c r="X200" i="5"/>
  <c r="AB200" i="5" s="1"/>
  <c r="M190" i="5" s="1"/>
  <c r="X203" i="5"/>
  <c r="AB203" i="5" s="1"/>
  <c r="M181" i="5" s="1"/>
  <c r="AE32" i="4"/>
  <c r="AH32" i="4" s="1"/>
  <c r="AE28" i="4"/>
  <c r="AH28" i="4" s="1"/>
  <c r="AE31" i="4"/>
  <c r="AH31" i="4" s="1"/>
  <c r="AE27" i="4"/>
  <c r="AH27" i="4" s="1"/>
  <c r="AE35" i="4"/>
  <c r="AH35" i="4" s="1"/>
  <c r="AE34" i="4"/>
  <c r="AH34" i="4" s="1"/>
  <c r="AE30" i="4"/>
  <c r="AH30" i="4" s="1"/>
  <c r="AE26" i="4"/>
  <c r="AH26" i="4" s="1"/>
  <c r="AE29" i="4"/>
  <c r="AH29" i="4" s="1"/>
  <c r="AE25" i="4"/>
  <c r="AH25" i="4" s="1"/>
  <c r="AE33" i="4"/>
  <c r="AH33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Q239" i="5" l="1"/>
  <c r="Q237" i="5"/>
  <c r="Q238" i="5"/>
  <c r="Q240" i="5"/>
  <c r="M183" i="5"/>
  <c r="AC226" i="5" s="1"/>
  <c r="M182" i="5"/>
  <c r="P226" i="5" s="1"/>
  <c r="I185" i="5"/>
  <c r="I186" i="5"/>
  <c r="AC220" i="5" s="1"/>
  <c r="I183" i="5"/>
  <c r="AC219" i="5" s="1"/>
  <c r="I182" i="5"/>
  <c r="M189" i="5"/>
  <c r="AC224" i="5" s="1"/>
  <c r="M188" i="5"/>
  <c r="P224" i="5" s="1"/>
  <c r="I189" i="5"/>
  <c r="AC221" i="5" s="1"/>
  <c r="I188" i="5"/>
  <c r="M191" i="5"/>
  <c r="P223" i="5" s="1"/>
  <c r="M192" i="5"/>
  <c r="AC223" i="5" s="1"/>
  <c r="M185" i="5"/>
  <c r="P225" i="5" s="1"/>
  <c r="M186" i="5"/>
  <c r="AC225" i="5" s="1"/>
  <c r="I192" i="5"/>
  <c r="AC222" i="5" s="1"/>
  <c r="I191" i="5"/>
  <c r="Q224" i="5"/>
  <c r="AC41" i="8" s="1"/>
  <c r="Q223" i="5"/>
  <c r="AC40" i="8" s="1"/>
  <c r="Q225" i="5"/>
  <c r="AC42" i="8" s="1"/>
  <c r="Q226" i="5"/>
  <c r="AC43" i="8" s="1"/>
  <c r="D34" i="4"/>
  <c r="L34" i="4"/>
  <c r="H34" i="4"/>
  <c r="K34" i="4"/>
  <c r="G34" i="4"/>
  <c r="J34" i="4"/>
  <c r="F34" i="4"/>
  <c r="I34" i="4"/>
  <c r="E34" i="4"/>
  <c r="N34" i="4" s="1"/>
  <c r="K29" i="4"/>
  <c r="G29" i="4"/>
  <c r="J29" i="4"/>
  <c r="F29" i="4"/>
  <c r="I29" i="4"/>
  <c r="E29" i="4"/>
  <c r="N29" i="4" s="1"/>
  <c r="L29" i="4"/>
  <c r="H29" i="4"/>
  <c r="L32" i="4"/>
  <c r="H32" i="4"/>
  <c r="K32" i="4"/>
  <c r="G32" i="4"/>
  <c r="J32" i="4"/>
  <c r="F32" i="4"/>
  <c r="I32" i="4"/>
  <c r="E32" i="4"/>
  <c r="N32" i="4" s="1"/>
  <c r="D26" i="4"/>
  <c r="K26" i="4"/>
  <c r="G26" i="4"/>
  <c r="J26" i="4"/>
  <c r="F26" i="4"/>
  <c r="I26" i="4"/>
  <c r="E26" i="4"/>
  <c r="N26" i="4" s="1"/>
  <c r="L26" i="4"/>
  <c r="H26" i="4"/>
  <c r="H27" i="4"/>
  <c r="K27" i="4"/>
  <c r="G27" i="4"/>
  <c r="J27" i="4"/>
  <c r="F27" i="4"/>
  <c r="I27" i="4"/>
  <c r="E27" i="4"/>
  <c r="N27" i="4" s="1"/>
  <c r="L27" i="4"/>
  <c r="D25" i="4"/>
  <c r="H25" i="4"/>
  <c r="K25" i="4"/>
  <c r="G25" i="4"/>
  <c r="J25" i="4"/>
  <c r="F25" i="4"/>
  <c r="I25" i="4"/>
  <c r="E25" i="4"/>
  <c r="N25" i="4" s="1"/>
  <c r="L25" i="4"/>
  <c r="L28" i="4"/>
  <c r="K28" i="4"/>
  <c r="G28" i="4"/>
  <c r="J28" i="4"/>
  <c r="F28" i="4"/>
  <c r="I28" i="4"/>
  <c r="E28" i="4"/>
  <c r="N28" i="4" s="1"/>
  <c r="H28" i="4"/>
  <c r="D35" i="4"/>
  <c r="L35" i="4"/>
  <c r="H35" i="4"/>
  <c r="K35" i="4"/>
  <c r="G35" i="4"/>
  <c r="J35" i="4"/>
  <c r="F35" i="4"/>
  <c r="I35" i="4"/>
  <c r="E35" i="4"/>
  <c r="N35" i="4" s="1"/>
  <c r="L33" i="4"/>
  <c r="H33" i="4"/>
  <c r="K33" i="4"/>
  <c r="G33" i="4"/>
  <c r="J33" i="4"/>
  <c r="F33" i="4"/>
  <c r="I33" i="4"/>
  <c r="E33" i="4"/>
  <c r="N33" i="4" s="1"/>
  <c r="H30" i="4"/>
  <c r="K30" i="4"/>
  <c r="G30" i="4"/>
  <c r="J30" i="4"/>
  <c r="F30" i="4"/>
  <c r="I30" i="4"/>
  <c r="E30" i="4"/>
  <c r="N30" i="4" s="1"/>
  <c r="L30" i="4"/>
  <c r="L31" i="4"/>
  <c r="H31" i="4"/>
  <c r="K31" i="4"/>
  <c r="G31" i="4"/>
  <c r="J31" i="4"/>
  <c r="F31" i="4"/>
  <c r="I31" i="4"/>
  <c r="E31" i="4"/>
  <c r="N31" i="4" s="1"/>
  <c r="D29" i="4"/>
  <c r="D31" i="4"/>
  <c r="D33" i="4"/>
  <c r="D32" i="4"/>
  <c r="D30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M28" i="4" l="1"/>
  <c r="M31" i="4"/>
  <c r="M30" i="4"/>
  <c r="M29" i="4"/>
  <c r="M35" i="4"/>
  <c r="M34" i="4"/>
  <c r="M33" i="4"/>
  <c r="M32" i="4"/>
  <c r="M27" i="4"/>
  <c r="M25" i="4"/>
  <c r="M26" i="4"/>
  <c r="AA224" i="5"/>
  <c r="AE224" i="5" s="1"/>
  <c r="AB41" i="8"/>
  <c r="AA226" i="5"/>
  <c r="AE226" i="5" s="1"/>
  <c r="AB43" i="8"/>
  <c r="AA225" i="5"/>
  <c r="AE225" i="5" s="1"/>
  <c r="AB42" i="8"/>
  <c r="AA223" i="5"/>
  <c r="AE223" i="5" s="1"/>
  <c r="AB40" i="8"/>
  <c r="P238" i="5"/>
  <c r="P221" i="5"/>
  <c r="Q221" i="5"/>
  <c r="AC38" i="8" s="1"/>
  <c r="Q220" i="5"/>
  <c r="AC37" i="8" s="1"/>
  <c r="P239" i="5"/>
  <c r="P220" i="5"/>
  <c r="P222" i="5"/>
  <c r="P237" i="5"/>
  <c r="Q219" i="5"/>
  <c r="AC36" i="8" s="1"/>
  <c r="Q222" i="5"/>
  <c r="AC39" i="8" s="1"/>
  <c r="P240" i="5"/>
  <c r="P219" i="5"/>
  <c r="D28" i="4"/>
  <c r="D27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AA219" i="5" l="1"/>
  <c r="AE219" i="5" s="1"/>
  <c r="R240" i="5" s="1"/>
  <c r="AB36" i="8"/>
  <c r="AA221" i="5"/>
  <c r="AE221" i="5" s="1"/>
  <c r="R238" i="5" s="1"/>
  <c r="AB38" i="8"/>
  <c r="AA222" i="5"/>
  <c r="AE222" i="5" s="1"/>
  <c r="R237" i="5" s="1"/>
  <c r="AB39" i="8"/>
  <c r="AA220" i="5"/>
  <c r="AE220" i="5" s="1"/>
  <c r="R239" i="5" s="1"/>
  <c r="AB37" i="8"/>
  <c r="F10" i="10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F11" i="10" l="1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AZ18" i="7"/>
  <c r="Y18" i="3"/>
  <c r="Y23" i="3"/>
  <c r="I8" i="10" l="1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BA18" i="7" l="1"/>
  <c r="BF18" i="7" s="1"/>
  <c r="BE20" i="7"/>
  <c r="BE8" i="7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F10" i="7" s="1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6" i="7"/>
  <c r="AL28" i="3"/>
  <c r="AM29" i="3"/>
  <c r="AM28" i="3"/>
  <c r="BL7" i="7" l="1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AR6" i="3" l="1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AT18" i="3" l="1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BJ27" i="3" l="1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BI27" i="3" l="1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H18" i="7" l="1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F6" i="7" l="1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CC11" i="3" l="1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CJ20" i="3" l="1"/>
  <c r="CJ12" i="3"/>
  <c r="CJ17" i="3"/>
  <c r="CJ21" i="3"/>
  <c r="CJ8" i="3"/>
  <c r="CL14" i="3" l="1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E14" i="3" l="1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J20" i="3" l="1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AA9" i="4"/>
  <c r="AE12" i="4" s="1"/>
  <c r="AH12" i="4" s="1"/>
  <c r="G12" i="4" l="1"/>
  <c r="E12" i="4"/>
  <c r="F12" i="4"/>
  <c r="H12" i="4"/>
  <c r="I12" i="4"/>
  <c r="K12" i="4"/>
  <c r="L12" i="4"/>
  <c r="J12" i="4"/>
  <c r="D12" i="4"/>
  <c r="AE16" i="4"/>
  <c r="AH16" i="4" s="1"/>
  <c r="AE13" i="4"/>
  <c r="AH13" i="4" s="1"/>
  <c r="AE17" i="4"/>
  <c r="AH17" i="4" s="1"/>
  <c r="AE14" i="4"/>
  <c r="AH14" i="4" s="1"/>
  <c r="AE19" i="4"/>
  <c r="AH19" i="4" s="1"/>
  <c r="AE9" i="4"/>
  <c r="AH9" i="4" s="1"/>
  <c r="AE15" i="4"/>
  <c r="AH15" i="4" s="1"/>
  <c r="AE11" i="4"/>
  <c r="AH11" i="4" s="1"/>
  <c r="AE10" i="4"/>
  <c r="AH10" i="4" s="1"/>
  <c r="AE18" i="4"/>
  <c r="AH18" i="4" s="1"/>
  <c r="T181" i="5"/>
  <c r="N12" i="4" l="1"/>
  <c r="M12" i="4" s="1"/>
  <c r="I9" i="4"/>
  <c r="J9" i="4"/>
  <c r="L9" i="4"/>
  <c r="F9" i="4"/>
  <c r="D9" i="4"/>
  <c r="G9" i="4"/>
  <c r="K9" i="4"/>
  <c r="H9" i="4"/>
  <c r="E9" i="4"/>
  <c r="K19" i="4"/>
  <c r="D19" i="4"/>
  <c r="H19" i="4"/>
  <c r="F19" i="4"/>
  <c r="E19" i="4"/>
  <c r="J19" i="4"/>
  <c r="G19" i="4"/>
  <c r="L19" i="4"/>
  <c r="I19" i="4"/>
  <c r="F14" i="4"/>
  <c r="J14" i="4"/>
  <c r="D14" i="4"/>
  <c r="L14" i="4"/>
  <c r="G14" i="4"/>
  <c r="E14" i="4"/>
  <c r="K14" i="4"/>
  <c r="H14" i="4"/>
  <c r="I14" i="4"/>
  <c r="X187" i="5"/>
  <c r="AB187" i="5" s="1"/>
  <c r="F184" i="5" s="1"/>
  <c r="X183" i="5"/>
  <c r="AB183" i="5" s="1"/>
  <c r="B187" i="5" s="1"/>
  <c r="X188" i="5"/>
  <c r="AB188" i="5" s="1"/>
  <c r="F181" i="5" s="1"/>
  <c r="X190" i="5"/>
  <c r="AB190" i="5" s="1"/>
  <c r="X189" i="5"/>
  <c r="AB189" i="5" s="1"/>
  <c r="X181" i="5"/>
  <c r="AB181" i="5" s="1"/>
  <c r="B181" i="5" s="1"/>
  <c r="Q233" i="5" s="1"/>
  <c r="X182" i="5"/>
  <c r="AB182" i="5" s="1"/>
  <c r="B184" i="5" s="1"/>
  <c r="Q216" i="5" s="1"/>
  <c r="AC33" i="8" s="1"/>
  <c r="X191" i="5"/>
  <c r="AB191" i="5" s="1"/>
  <c r="X186" i="5"/>
  <c r="AB186" i="5" s="1"/>
  <c r="F187" i="5" s="1"/>
  <c r="Q228" i="5" s="1"/>
  <c r="AC45" i="8" s="1"/>
  <c r="X184" i="5"/>
  <c r="AB184" i="5" s="1"/>
  <c r="B190" i="5" s="1"/>
  <c r="X185" i="5"/>
  <c r="AB185" i="5" s="1"/>
  <c r="F190" i="5" s="1"/>
  <c r="Q227" i="5" s="1"/>
  <c r="AC44" i="8" s="1"/>
  <c r="J17" i="4"/>
  <c r="L17" i="4"/>
  <c r="G17" i="4"/>
  <c r="E17" i="4"/>
  <c r="I17" i="4"/>
  <c r="K17" i="4"/>
  <c r="F17" i="4"/>
  <c r="D17" i="4"/>
  <c r="H17" i="4"/>
  <c r="E18" i="4"/>
  <c r="I18" i="4"/>
  <c r="D18" i="4"/>
  <c r="F18" i="4"/>
  <c r="J18" i="4"/>
  <c r="L18" i="4"/>
  <c r="G18" i="4"/>
  <c r="K18" i="4"/>
  <c r="H18" i="4"/>
  <c r="I13" i="4"/>
  <c r="D13" i="4"/>
  <c r="L13" i="4"/>
  <c r="F13" i="4"/>
  <c r="K13" i="4"/>
  <c r="H13" i="4"/>
  <c r="G13" i="4"/>
  <c r="J13" i="4"/>
  <c r="E13" i="4"/>
  <c r="J15" i="4"/>
  <c r="F15" i="4"/>
  <c r="D15" i="4"/>
  <c r="K15" i="4"/>
  <c r="L15" i="4"/>
  <c r="E15" i="4"/>
  <c r="I15" i="4"/>
  <c r="G15" i="4"/>
  <c r="H15" i="4"/>
  <c r="K16" i="4"/>
  <c r="I16" i="4"/>
  <c r="D16" i="4"/>
  <c r="H16" i="4"/>
  <c r="J16" i="4"/>
  <c r="L16" i="4"/>
  <c r="E16" i="4"/>
  <c r="G16" i="4"/>
  <c r="F16" i="4"/>
  <c r="H10" i="4"/>
  <c r="L10" i="4"/>
  <c r="J10" i="4"/>
  <c r="E10" i="4"/>
  <c r="F10" i="4"/>
  <c r="D10" i="4"/>
  <c r="G10" i="4"/>
  <c r="K10" i="4"/>
  <c r="I10" i="4"/>
  <c r="F11" i="4"/>
  <c r="I11" i="4"/>
  <c r="K11" i="4"/>
  <c r="G11" i="4"/>
  <c r="H11" i="4"/>
  <c r="E11" i="4"/>
  <c r="J11" i="4"/>
  <c r="L11" i="4"/>
  <c r="D11" i="4"/>
  <c r="Q234" i="5" l="1"/>
  <c r="Q236" i="5"/>
  <c r="Q235" i="5"/>
  <c r="Q230" i="5"/>
  <c r="AC47" i="8" s="1"/>
  <c r="Q229" i="5"/>
  <c r="AC46" i="8" s="1"/>
  <c r="Q218" i="5"/>
  <c r="AC35" i="8" s="1"/>
  <c r="Q215" i="5"/>
  <c r="AC32" i="8" s="1"/>
  <c r="Q217" i="5"/>
  <c r="AC34" i="8" s="1"/>
  <c r="N19" i="4"/>
  <c r="M19" i="4" s="1"/>
  <c r="N17" i="4"/>
  <c r="M17" i="4" s="1"/>
  <c r="N16" i="4"/>
  <c r="M16" i="4" s="1"/>
  <c r="N13" i="4"/>
  <c r="M13" i="4" s="1"/>
  <c r="N9" i="4"/>
  <c r="M9" i="4" s="1"/>
  <c r="N18" i="4"/>
  <c r="M18" i="4" s="1"/>
  <c r="N14" i="4"/>
  <c r="M14" i="4" s="1"/>
  <c r="N11" i="4"/>
  <c r="M11" i="4" s="1"/>
  <c r="N10" i="4"/>
  <c r="M10" i="4" s="1"/>
  <c r="N15" i="4"/>
  <c r="M15" i="4" s="1"/>
  <c r="F191" i="5"/>
  <c r="P227" i="5" s="1"/>
  <c r="F192" i="5"/>
  <c r="AC227" i="5" s="1"/>
  <c r="F182" i="5"/>
  <c r="P230" i="5" s="1"/>
  <c r="F183" i="5"/>
  <c r="AC230" i="5" s="1"/>
  <c r="B191" i="5"/>
  <c r="B192" i="5"/>
  <c r="AC218" i="5" s="1"/>
  <c r="B189" i="5"/>
  <c r="AC217" i="5" s="1"/>
  <c r="B188" i="5"/>
  <c r="F188" i="5"/>
  <c r="P228" i="5" s="1"/>
  <c r="F189" i="5"/>
  <c r="AC228" i="5" s="1"/>
  <c r="F185" i="5"/>
  <c r="P229" i="5" s="1"/>
  <c r="F186" i="5"/>
  <c r="AC229" i="5" s="1"/>
  <c r="B185" i="5"/>
  <c r="B186" i="5"/>
  <c r="AC216" i="5" s="1"/>
  <c r="B182" i="5"/>
  <c r="B183" i="5"/>
  <c r="AC215" i="5" s="1"/>
  <c r="P233" i="5" l="1"/>
  <c r="P215" i="5"/>
  <c r="AB47" i="8"/>
  <c r="AA230" i="5"/>
  <c r="AE230" i="5" s="1"/>
  <c r="P218" i="5"/>
  <c r="P236" i="5"/>
  <c r="AA229" i="5"/>
  <c r="AE229" i="5" s="1"/>
  <c r="AB46" i="8"/>
  <c r="P235" i="5"/>
  <c r="P217" i="5"/>
  <c r="P216" i="5"/>
  <c r="P234" i="5"/>
  <c r="AA228" i="5"/>
  <c r="AE228" i="5" s="1"/>
  <c r="AB45" i="8"/>
  <c r="AB44" i="8"/>
  <c r="AA227" i="5"/>
  <c r="AE227" i="5" s="1"/>
  <c r="AB35" i="8" l="1"/>
  <c r="AA218" i="5"/>
  <c r="AE218" i="5" s="1"/>
  <c r="R236" i="5" s="1"/>
  <c r="AB34" i="8"/>
  <c r="AA217" i="5"/>
  <c r="AE217" i="5" s="1"/>
  <c r="R235" i="5" s="1"/>
  <c r="AB32" i="8"/>
  <c r="AA215" i="5"/>
  <c r="AE215" i="5" s="1"/>
  <c r="R233" i="5" s="1"/>
  <c r="AA216" i="5"/>
  <c r="AE216" i="5" s="1"/>
  <c r="R234" i="5" s="1"/>
  <c r="AB33" i="8"/>
  <c r="AH6" i="8" l="1"/>
  <c r="AG26" i="8"/>
  <c r="AG16" i="8"/>
  <c r="AD24" i="8"/>
  <c r="AI26" i="8"/>
  <c r="AI16" i="8"/>
  <c r="AC15" i="8"/>
  <c r="AI18" i="8"/>
  <c r="AG17" i="8"/>
  <c r="AI21" i="8"/>
  <c r="AG22" i="8"/>
  <c r="AG18" i="8"/>
  <c r="AC21" i="8"/>
  <c r="AG27" i="8"/>
  <c r="AC14" i="8"/>
  <c r="AC17" i="8"/>
  <c r="AG15" i="8"/>
  <c r="AG7" i="8"/>
  <c r="AD22" i="8"/>
  <c r="AD20" i="8"/>
  <c r="AC7" i="8"/>
  <c r="AC13" i="8"/>
  <c r="AG13" i="8"/>
  <c r="AG9" i="8"/>
  <c r="AC6" i="8"/>
  <c r="AG11" i="8"/>
  <c r="AI8" i="8"/>
  <c r="AC25" i="8"/>
  <c r="AC10" i="8"/>
  <c r="AD6" i="8"/>
  <c r="AC19" i="8"/>
  <c r="AC20" i="8"/>
  <c r="AG19" i="8"/>
  <c r="AI23" i="8"/>
  <c r="AI27" i="8"/>
  <c r="AD25" i="8"/>
  <c r="AI24" i="8"/>
  <c r="AC26" i="8"/>
  <c r="AI25" i="8"/>
  <c r="AD12" i="8"/>
  <c r="AG23" i="8"/>
  <c r="AG10" i="8"/>
  <c r="AG12" i="8"/>
  <c r="AC23" i="8"/>
  <c r="AD16" i="8"/>
  <c r="AI12" i="8"/>
  <c r="AI15" i="8"/>
  <c r="AD11" i="8"/>
  <c r="AC27" i="8"/>
  <c r="AG6" i="8"/>
  <c r="AC18" i="8"/>
  <c r="AG20" i="8"/>
  <c r="AC22" i="8"/>
  <c r="AC8" i="8"/>
  <c r="AI11" i="8"/>
  <c r="AI9" i="8"/>
  <c r="AC12" i="8"/>
  <c r="AC16" i="8"/>
  <c r="AD9" i="8"/>
  <c r="AI17" i="8"/>
  <c r="AC9" i="8"/>
  <c r="AI13" i="8"/>
  <c r="AI20" i="8"/>
  <c r="AI19" i="8"/>
  <c r="AG14" i="8"/>
  <c r="AI7" i="8"/>
  <c r="AI14" i="8"/>
  <c r="AD23" i="8"/>
  <c r="AG24" i="8"/>
  <c r="AD15" i="8"/>
  <c r="AG25" i="8"/>
  <c r="AD27" i="8"/>
  <c r="AI6" i="8"/>
  <c r="AD17" i="8"/>
  <c r="AC24" i="8"/>
  <c r="AD19" i="8"/>
  <c r="AG21" i="8"/>
  <c r="AD10" i="8"/>
  <c r="AD14" i="8"/>
  <c r="AC11" i="8"/>
  <c r="AD8" i="8"/>
  <c r="AD18" i="8"/>
  <c r="AD26" i="8"/>
  <c r="AI10" i="8"/>
  <c r="AE6" i="8"/>
  <c r="AG8" i="8"/>
  <c r="AD13" i="8"/>
  <c r="AD21" i="8"/>
  <c r="AD7" i="8"/>
  <c r="AE9" i="8"/>
  <c r="AE10" i="8"/>
  <c r="AE13" i="8"/>
  <c r="AH20" i="8"/>
  <c r="AE18" i="8"/>
  <c r="AE22" i="8"/>
  <c r="AH13" i="8"/>
  <c r="AH17" i="8"/>
  <c r="AH21" i="8"/>
  <c r="AH24" i="8"/>
  <c r="AE27" i="8"/>
  <c r="AH15" i="8"/>
  <c r="AH11" i="8"/>
  <c r="AE20" i="8"/>
  <c r="AH27" i="8"/>
  <c r="AE12" i="8"/>
  <c r="AE11" i="8"/>
  <c r="AH22" i="8"/>
  <c r="AH26" i="8"/>
  <c r="AE14" i="8"/>
  <c r="AE25" i="8"/>
  <c r="AE26" i="8"/>
  <c r="AH18" i="8"/>
  <c r="AH14" i="8"/>
  <c r="AE17" i="8"/>
  <c r="AE15" i="8"/>
  <c r="AE8" i="8"/>
  <c r="AH7" i="8"/>
  <c r="AH23" i="8"/>
  <c r="AH12" i="8"/>
  <c r="AE24" i="8"/>
  <c r="AE23" i="8"/>
  <c r="AH9" i="8"/>
  <c r="AH10" i="8"/>
  <c r="AE16" i="8"/>
  <c r="AI22" i="8"/>
  <c r="AH16" i="8"/>
  <c r="AE21" i="8"/>
  <c r="AH25" i="8"/>
  <c r="AH8" i="8"/>
  <c r="AE19" i="8"/>
  <c r="AE7" i="8"/>
  <c r="AH19" i="8"/>
  <c r="U240" i="5"/>
  <c r="W240" i="5" s="1"/>
  <c r="U235" i="5"/>
  <c r="W235" i="5" s="1"/>
  <c r="U234" i="5"/>
  <c r="W234" i="5" s="1"/>
  <c r="U237" i="5"/>
  <c r="W237" i="5" s="1"/>
  <c r="U238" i="5"/>
  <c r="W238" i="5" s="1"/>
  <c r="U239" i="5"/>
  <c r="W239" i="5" s="1"/>
  <c r="U233" i="5"/>
  <c r="W233" i="5" s="1"/>
  <c r="U236" i="5"/>
  <c r="W236" i="5" s="1"/>
  <c r="AJ18" i="8" l="1"/>
  <c r="AJ16" i="8"/>
  <c r="AJ21" i="8"/>
  <c r="AJ8" i="8"/>
  <c r="AJ14" i="8"/>
  <c r="AJ27" i="8"/>
  <c r="AJ12" i="8"/>
  <c r="AJ17" i="8"/>
  <c r="AJ26" i="8"/>
  <c r="AJ24" i="8"/>
  <c r="AJ13" i="8"/>
  <c r="AJ10" i="8"/>
  <c r="AJ25" i="8"/>
  <c r="AJ15" i="8"/>
  <c r="AJ20" i="8"/>
  <c r="AJ11" i="8"/>
  <c r="AJ23" i="8"/>
  <c r="AJ7" i="8"/>
  <c r="P244" i="5"/>
  <c r="Q244" i="5"/>
  <c r="AB244" i="5"/>
  <c r="AF13" i="8"/>
  <c r="AF14" i="8"/>
  <c r="AF11" i="8"/>
  <c r="AB245" i="5"/>
  <c r="P245" i="5"/>
  <c r="Q245" i="5"/>
  <c r="AF10" i="8"/>
  <c r="AF15" i="8"/>
  <c r="AF6" i="8"/>
  <c r="AF27" i="8"/>
  <c r="AB250" i="5"/>
  <c r="Q250" i="5"/>
  <c r="F214" i="5" s="1"/>
  <c r="P250" i="5"/>
  <c r="AF16" i="8"/>
  <c r="AF12" i="8"/>
  <c r="AJ19" i="8"/>
  <c r="AF19" i="8"/>
  <c r="AF23" i="8"/>
  <c r="AF25" i="8"/>
  <c r="AF20" i="8"/>
  <c r="AF24" i="8"/>
  <c r="Q246" i="5"/>
  <c r="AB246" i="5"/>
  <c r="P246" i="5"/>
  <c r="P243" i="5"/>
  <c r="Q243" i="5"/>
  <c r="B214" i="5" s="1"/>
  <c r="AB243" i="5"/>
  <c r="AJ22" i="8"/>
  <c r="AF26" i="8"/>
  <c r="AF9" i="8"/>
  <c r="AF22" i="8"/>
  <c r="AB249" i="5"/>
  <c r="P249" i="5"/>
  <c r="Q249" i="5"/>
  <c r="AJ9" i="8"/>
  <c r="AF18" i="8"/>
  <c r="AF17" i="8"/>
  <c r="Q247" i="5"/>
  <c r="AB247" i="5"/>
  <c r="P247" i="5"/>
  <c r="AF21" i="8"/>
  <c r="P248" i="5"/>
  <c r="AB248" i="5"/>
  <c r="Q248" i="5"/>
  <c r="AF7" i="8"/>
  <c r="AF8" i="8"/>
  <c r="AJ6" i="8"/>
  <c r="AK7" i="8" l="1"/>
  <c r="AK18" i="8"/>
  <c r="AK25" i="8"/>
  <c r="AK11" i="8"/>
  <c r="AK16" i="8"/>
  <c r="AK17" i="8"/>
  <c r="AK20" i="8"/>
  <c r="AK23" i="8"/>
  <c r="AK27" i="8"/>
  <c r="AK14" i="8"/>
  <c r="AK8" i="8"/>
  <c r="AK19" i="8"/>
  <c r="AK13" i="8"/>
  <c r="AK24" i="8"/>
  <c r="AK15" i="8"/>
  <c r="AK9" i="8"/>
  <c r="AK26" i="8"/>
  <c r="AK21" i="8"/>
  <c r="AK22" i="8"/>
  <c r="AK12" i="8"/>
  <c r="AK10" i="8"/>
  <c r="AM32" i="8"/>
  <c r="B215" i="5"/>
  <c r="P254" i="5" s="1"/>
  <c r="AA243" i="5"/>
  <c r="AD243" i="5" s="1"/>
  <c r="R254" i="5" s="1"/>
  <c r="I214" i="5"/>
  <c r="Q256" i="5" s="1"/>
  <c r="AN34" i="8"/>
  <c r="F217" i="5"/>
  <c r="AN38" i="8"/>
  <c r="AM39" i="8"/>
  <c r="F215" i="5"/>
  <c r="AA250" i="5"/>
  <c r="AD250" i="5" s="1"/>
  <c r="AA245" i="5"/>
  <c r="AD245" i="5" s="1"/>
  <c r="R256" i="5" s="1"/>
  <c r="I215" i="5"/>
  <c r="P256" i="5" s="1"/>
  <c r="AM34" i="8"/>
  <c r="I217" i="5"/>
  <c r="AN35" i="8"/>
  <c r="AN39" i="8"/>
  <c r="I218" i="5"/>
  <c r="AM35" i="8"/>
  <c r="AA246" i="5"/>
  <c r="AD246" i="5" s="1"/>
  <c r="AM36" i="8"/>
  <c r="M218" i="5"/>
  <c r="AA247" i="5"/>
  <c r="AD247" i="5" s="1"/>
  <c r="AN36" i="8"/>
  <c r="M217" i="5"/>
  <c r="AN33" i="8"/>
  <c r="B217" i="5"/>
  <c r="Q255" i="5" s="1"/>
  <c r="AA248" i="5"/>
  <c r="AD248" i="5" s="1"/>
  <c r="AM37" i="8"/>
  <c r="M215" i="5"/>
  <c r="F218" i="5"/>
  <c r="AM38" i="8"/>
  <c r="AA249" i="5"/>
  <c r="AD249" i="5" s="1"/>
  <c r="M214" i="5"/>
  <c r="AN37" i="8"/>
  <c r="AN32" i="8"/>
  <c r="Q254" i="5"/>
  <c r="AK6" i="8"/>
  <c r="B218" i="5"/>
  <c r="P255" i="5" s="1"/>
  <c r="AM33" i="8"/>
  <c r="AA244" i="5"/>
  <c r="AD244" i="5" s="1"/>
  <c r="R255" i="5" s="1"/>
  <c r="Q257" i="5" l="1"/>
  <c r="R257" i="5"/>
  <c r="U254" i="5" s="1"/>
  <c r="W254" i="5" s="1"/>
  <c r="P257" i="5"/>
  <c r="AN7" i="8"/>
  <c r="AN14" i="8"/>
  <c r="AN10" i="8"/>
  <c r="AP9" i="8"/>
  <c r="AO7" i="8"/>
  <c r="AT9" i="8"/>
  <c r="AN16" i="8"/>
  <c r="AN11" i="8"/>
  <c r="AN26" i="8"/>
  <c r="AR21" i="8"/>
  <c r="AS12" i="8"/>
  <c r="AP24" i="8"/>
  <c r="AN23" i="8"/>
  <c r="AN15" i="8"/>
  <c r="AN8" i="8"/>
  <c r="AO14" i="8"/>
  <c r="AS8" i="8"/>
  <c r="AR19" i="8"/>
  <c r="AP22" i="8"/>
  <c r="AP21" i="8"/>
  <c r="AN6" i="8"/>
  <c r="AN13" i="8"/>
  <c r="AN19" i="8"/>
  <c r="AT26" i="8"/>
  <c r="AP23" i="8"/>
  <c r="AS25" i="8"/>
  <c r="AO16" i="8"/>
  <c r="AP25" i="8"/>
  <c r="AN27" i="8"/>
  <c r="AN25" i="8"/>
  <c r="AN18" i="8"/>
  <c r="AO21" i="8"/>
  <c r="AP18" i="8"/>
  <c r="AO10" i="8"/>
  <c r="AS13" i="8"/>
  <c r="AN22" i="8"/>
  <c r="AN12" i="8"/>
  <c r="AN21" i="8"/>
  <c r="AO26" i="8"/>
  <c r="AS9" i="8"/>
  <c r="AP12" i="8"/>
  <c r="AS17" i="8"/>
  <c r="AN9" i="8"/>
  <c r="AR6" i="8"/>
  <c r="AN24" i="8"/>
  <c r="AP13" i="8"/>
  <c r="AT24" i="8"/>
  <c r="AO27" i="8"/>
  <c r="AP20" i="8"/>
  <c r="AN20" i="8"/>
  <c r="AP11" i="8"/>
  <c r="AT25" i="8"/>
  <c r="AO24" i="8"/>
  <c r="AS16" i="8"/>
  <c r="AT8" i="8"/>
  <c r="AR17" i="8"/>
  <c r="AT20" i="8"/>
  <c r="AR11" i="8"/>
  <c r="AR24" i="8"/>
  <c r="AO25" i="8"/>
  <c r="AR27" i="8"/>
  <c r="AN17" i="8"/>
  <c r="AS18" i="8"/>
  <c r="AO8" i="8"/>
  <c r="AS19" i="8"/>
  <c r="AR20" i="8"/>
  <c r="AP19" i="8"/>
  <c r="AO9" i="8"/>
  <c r="AS24" i="8"/>
  <c r="AR25" i="8"/>
  <c r="AT15" i="8"/>
  <c r="AP16" i="8"/>
  <c r="AT6" i="8"/>
  <c r="AS27" i="8"/>
  <c r="AS14" i="8"/>
  <c r="AR23" i="8"/>
  <c r="AR18" i="8"/>
  <c r="AT16" i="8"/>
  <c r="AR22" i="8"/>
  <c r="AS20" i="8"/>
  <c r="AP8" i="8"/>
  <c r="AS10" i="8"/>
  <c r="AP15" i="8"/>
  <c r="AO23" i="8"/>
  <c r="AS7" i="8"/>
  <c r="AR9" i="8"/>
  <c r="AP6" i="8"/>
  <c r="AO13" i="8"/>
  <c r="AP26" i="8"/>
  <c r="AR13" i="8"/>
  <c r="AT14" i="8"/>
  <c r="AT18" i="8"/>
  <c r="AT19" i="8"/>
  <c r="AR15" i="8"/>
  <c r="AO12" i="8"/>
  <c r="AT11" i="8"/>
  <c r="AP14" i="8"/>
  <c r="AR14" i="8"/>
  <c r="AP17" i="8"/>
  <c r="AS21" i="8"/>
  <c r="AO17" i="8"/>
  <c r="AS11" i="8"/>
  <c r="AT17" i="8"/>
  <c r="AP27" i="8"/>
  <c r="AT21" i="8"/>
  <c r="AT10" i="8"/>
  <c r="AT13" i="8"/>
  <c r="AO15" i="8"/>
  <c r="AS15" i="8"/>
  <c r="AP7" i="8"/>
  <c r="AP10" i="8"/>
  <c r="AT7" i="8"/>
  <c r="AO22" i="8"/>
  <c r="AT22" i="8"/>
  <c r="AR7" i="8"/>
  <c r="AS22" i="8"/>
  <c r="AT12" i="8"/>
  <c r="AS26" i="8"/>
  <c r="AT27" i="8"/>
  <c r="AR16" i="8"/>
  <c r="AO20" i="8"/>
  <c r="AT23" i="8"/>
  <c r="AO11" i="8"/>
  <c r="AO19" i="8"/>
  <c r="AO6" i="8"/>
  <c r="AR26" i="8"/>
  <c r="AS23" i="8"/>
  <c r="AR12" i="8"/>
  <c r="AO18" i="8"/>
  <c r="AR8" i="8"/>
  <c r="AR10" i="8"/>
  <c r="AS6" i="8"/>
  <c r="U255" i="5" l="1"/>
  <c r="W255" i="5" s="1"/>
  <c r="Q261" i="5" s="1"/>
  <c r="U257" i="5"/>
  <c r="W257" i="5" s="1"/>
  <c r="U256" i="5"/>
  <c r="W256" i="5" s="1"/>
  <c r="P262" i="5" s="1"/>
  <c r="AU10" i="8"/>
  <c r="AU27" i="8"/>
  <c r="AU17" i="8"/>
  <c r="AQ10" i="8"/>
  <c r="AU25" i="8"/>
  <c r="AQ11" i="8"/>
  <c r="AU12" i="8"/>
  <c r="AQ18" i="8"/>
  <c r="AQ22" i="8"/>
  <c r="AU19" i="8"/>
  <c r="AU8" i="8"/>
  <c r="AU14" i="8"/>
  <c r="AQ20" i="8"/>
  <c r="AQ13" i="8"/>
  <c r="AU20" i="8"/>
  <c r="AQ8" i="8"/>
  <c r="AQ27" i="8"/>
  <c r="AU9" i="8"/>
  <c r="AQ21" i="8"/>
  <c r="AQ14" i="8"/>
  <c r="AU18" i="8"/>
  <c r="AQ26" i="8"/>
  <c r="AB261" i="5"/>
  <c r="P261" i="5"/>
  <c r="AQ16" i="8"/>
  <c r="AU26" i="8"/>
  <c r="AU11" i="8"/>
  <c r="AU16" i="8"/>
  <c r="P263" i="5"/>
  <c r="AB263" i="5"/>
  <c r="Q263" i="5"/>
  <c r="AV22" i="8"/>
  <c r="AQ6" i="8"/>
  <c r="AU15" i="8"/>
  <c r="AQ17" i="8"/>
  <c r="AU7" i="8"/>
  <c r="AU24" i="8"/>
  <c r="AQ24" i="8"/>
  <c r="AQ7" i="8"/>
  <c r="AU13" i="8"/>
  <c r="AU23" i="8"/>
  <c r="AQ12" i="8"/>
  <c r="AU6" i="8"/>
  <c r="AQ19" i="8"/>
  <c r="AU22" i="8"/>
  <c r="AQ15" i="8"/>
  <c r="AU21" i="8"/>
  <c r="AQ23" i="8"/>
  <c r="AQ9" i="8"/>
  <c r="AQ25" i="8"/>
  <c r="AB260" i="5"/>
  <c r="Q260" i="5"/>
  <c r="P260" i="5"/>
  <c r="AV19" i="8" l="1"/>
  <c r="AV18" i="8"/>
  <c r="AV24" i="8"/>
  <c r="AV12" i="8"/>
  <c r="AV10" i="8"/>
  <c r="AB262" i="5"/>
  <c r="AV21" i="8"/>
  <c r="AV13" i="8"/>
  <c r="Q262" i="5"/>
  <c r="AY33" i="8" s="1"/>
  <c r="AV6" i="8"/>
  <c r="AV16" i="8"/>
  <c r="AV11" i="8"/>
  <c r="AV14" i="8"/>
  <c r="AV27" i="8"/>
  <c r="AA263" i="5"/>
  <c r="AD263" i="5" s="1"/>
  <c r="AX34" i="8"/>
  <c r="F233" i="5"/>
  <c r="AX32" i="8"/>
  <c r="AA261" i="5"/>
  <c r="AD261" i="5" s="1"/>
  <c r="I233" i="5"/>
  <c r="AV8" i="8"/>
  <c r="AV7" i="8"/>
  <c r="M232" i="5"/>
  <c r="Q277" i="5" s="1"/>
  <c r="AV20" i="8"/>
  <c r="AV26" i="8"/>
  <c r="AY31" i="8"/>
  <c r="B232" i="5"/>
  <c r="Q267" i="5" s="1"/>
  <c r="AX33" i="8"/>
  <c r="AA262" i="5"/>
  <c r="M233" i="5"/>
  <c r="AY34" i="8"/>
  <c r="F232" i="5"/>
  <c r="Q276" i="5" s="1"/>
  <c r="AV17" i="8"/>
  <c r="AY32" i="8"/>
  <c r="I232" i="5"/>
  <c r="Q268" i="5" s="1"/>
  <c r="B233" i="5"/>
  <c r="AX31" i="8"/>
  <c r="AA260" i="5"/>
  <c r="AD260" i="5" s="1"/>
  <c r="AV25" i="8"/>
  <c r="AV9" i="8"/>
  <c r="AV23" i="8"/>
  <c r="AV15" i="8"/>
  <c r="AD262" i="5" l="1"/>
  <c r="BC15" i="8"/>
  <c r="AZ23" i="8"/>
  <c r="AZ18" i="8"/>
  <c r="AY13" i="8"/>
  <c r="AY20" i="8"/>
  <c r="AY27" i="8"/>
  <c r="BC23" i="8"/>
  <c r="AY22" i="8"/>
  <c r="BC24" i="8"/>
  <c r="AY9" i="8"/>
  <c r="BE17" i="8"/>
  <c r="AZ17" i="8"/>
  <c r="BA11" i="8"/>
  <c r="BD16" i="8"/>
  <c r="AZ26" i="8"/>
  <c r="BC7" i="8"/>
  <c r="AZ6" i="8"/>
  <c r="AZ20" i="8"/>
  <c r="BE7" i="8"/>
  <c r="BE21" i="8"/>
  <c r="BE16" i="8"/>
  <c r="AY23" i="8"/>
  <c r="BE27" i="8"/>
  <c r="BE10" i="8"/>
  <c r="AY21" i="8"/>
  <c r="BA15" i="8"/>
  <c r="BA8" i="8"/>
  <c r="BA9" i="8"/>
  <c r="AZ16" i="8"/>
  <c r="BA19" i="8"/>
  <c r="BD26" i="8"/>
  <c r="BD15" i="8"/>
  <c r="BE23" i="8"/>
  <c r="AZ19" i="8"/>
  <c r="BD12" i="8"/>
  <c r="AY16" i="8"/>
  <c r="BC27" i="8"/>
  <c r="BC21" i="8"/>
  <c r="BC11" i="8"/>
  <c r="AY19" i="8"/>
  <c r="BC12" i="8"/>
  <c r="BE20" i="8"/>
  <c r="AZ12" i="8"/>
  <c r="AZ10" i="8"/>
  <c r="BD19" i="8"/>
  <c r="BA25" i="8"/>
  <c r="AZ27" i="8"/>
  <c r="BC14" i="8"/>
  <c r="BA21" i="8"/>
  <c r="BD17" i="8"/>
  <c r="BC26" i="8"/>
  <c r="AY6" i="8"/>
  <c r="BE12" i="8"/>
  <c r="AY12" i="8"/>
  <c r="BE25" i="8"/>
  <c r="AY14" i="8"/>
  <c r="AY24" i="8"/>
  <c r="BD23" i="8"/>
  <c r="BD8" i="8"/>
  <c r="AZ7" i="8"/>
  <c r="BA13" i="8"/>
  <c r="BD24" i="8"/>
  <c r="BC6" i="8"/>
  <c r="BD10" i="8"/>
  <c r="BD27" i="8"/>
  <c r="BE13" i="8"/>
  <c r="BE26" i="8"/>
  <c r="BC20" i="8"/>
  <c r="AY8" i="8"/>
  <c r="BC9" i="8"/>
  <c r="BC13" i="8"/>
  <c r="BE6" i="8"/>
  <c r="AZ15" i="8"/>
  <c r="AZ8" i="8"/>
  <c r="AZ9" i="8"/>
  <c r="BA27" i="8"/>
  <c r="AY15" i="8"/>
  <c r="AZ24" i="8"/>
  <c r="BA16" i="8"/>
  <c r="BE22" i="8"/>
  <c r="BE14" i="8"/>
  <c r="AY7" i="8"/>
  <c r="BC8" i="8"/>
  <c r="AY11" i="8"/>
  <c r="BE15" i="8"/>
  <c r="AY17" i="8"/>
  <c r="BA17" i="8"/>
  <c r="AZ21" i="8"/>
  <c r="AZ22" i="8"/>
  <c r="BA26" i="8"/>
  <c r="BE18" i="8"/>
  <c r="BD13" i="8"/>
  <c r="BA22" i="8"/>
  <c r="BC17" i="8"/>
  <c r="BC18" i="8"/>
  <c r="BE11" i="8"/>
  <c r="BC10" i="8"/>
  <c r="BE8" i="8"/>
  <c r="BC22" i="8"/>
  <c r="AY18" i="8"/>
  <c r="AY26" i="8"/>
  <c r="BA12" i="8"/>
  <c r="BA10" i="8"/>
  <c r="BD11" i="8"/>
  <c r="BD20" i="8"/>
  <c r="BA6" i="8"/>
  <c r="BA24" i="8"/>
  <c r="BA20" i="8"/>
  <c r="AZ25" i="8"/>
  <c r="BC25" i="8"/>
  <c r="AY10" i="8"/>
  <c r="BD22" i="8"/>
  <c r="AZ14" i="8"/>
  <c r="BC19" i="8"/>
  <c r="BA7" i="8"/>
  <c r="BE24" i="8"/>
  <c r="BD18" i="8"/>
  <c r="BA23" i="8"/>
  <c r="BD14" i="8"/>
  <c r="BD7" i="8"/>
  <c r="AZ13" i="8"/>
  <c r="BD25" i="8"/>
  <c r="AY25" i="8"/>
  <c r="BD21" i="8"/>
  <c r="BD6" i="8"/>
  <c r="BE19" i="8"/>
  <c r="AZ11" i="8"/>
  <c r="BD9" i="8"/>
  <c r="BE9" i="8"/>
  <c r="BC16" i="8"/>
  <c r="BA14" i="8"/>
  <c r="BA18" i="8"/>
  <c r="P267" i="5"/>
  <c r="P276" i="5"/>
  <c r="P277" i="5"/>
  <c r="P268" i="5"/>
  <c r="R276" i="5"/>
  <c r="R267" i="5"/>
  <c r="R268" i="5"/>
  <c r="R277" i="5"/>
  <c r="BB11" i="8" l="1"/>
  <c r="BF14" i="8"/>
  <c r="BB27" i="8"/>
  <c r="BF26" i="8"/>
  <c r="BB26" i="8"/>
  <c r="BF9" i="8"/>
  <c r="BB21" i="8"/>
  <c r="BB24" i="8"/>
  <c r="BF24" i="8"/>
  <c r="BF16" i="8"/>
  <c r="BF6" i="8"/>
  <c r="BF18" i="8"/>
  <c r="BB25" i="8"/>
  <c r="BF19" i="8"/>
  <c r="BB16" i="8"/>
  <c r="BF22" i="8"/>
  <c r="BF21" i="8"/>
  <c r="BF13" i="8"/>
  <c r="BB7" i="8"/>
  <c r="BB10" i="8"/>
  <c r="BB17" i="8"/>
  <c r="BF7" i="8"/>
  <c r="BF10" i="8"/>
  <c r="BB9" i="8"/>
  <c r="BF8" i="8"/>
  <c r="BB12" i="8"/>
  <c r="BF12" i="8"/>
  <c r="BB18" i="8"/>
  <c r="BF11" i="8"/>
  <c r="U268" i="5"/>
  <c r="W268" i="5" s="1"/>
  <c r="U267" i="5"/>
  <c r="W267" i="5" s="1"/>
  <c r="BB8" i="8"/>
  <c r="BF23" i="8"/>
  <c r="BF17" i="8"/>
  <c r="BB19" i="8"/>
  <c r="BB20" i="8"/>
  <c r="BB23" i="8"/>
  <c r="BF15" i="8"/>
  <c r="BF25" i="8"/>
  <c r="U276" i="5"/>
  <c r="W276" i="5" s="1"/>
  <c r="U277" i="5"/>
  <c r="W277" i="5" s="1"/>
  <c r="BB13" i="8"/>
  <c r="BB14" i="8"/>
  <c r="BF20" i="8"/>
  <c r="BB22" i="8"/>
  <c r="BB15" i="8"/>
  <c r="BF27" i="8"/>
  <c r="BB6" i="8"/>
  <c r="BG19" i="8" l="1"/>
  <c r="BG7" i="8"/>
  <c r="BG11" i="8"/>
  <c r="BG8" i="8"/>
  <c r="BG24" i="8"/>
  <c r="BG6" i="8"/>
  <c r="BG16" i="8"/>
  <c r="BG21" i="8"/>
  <c r="BG14" i="8"/>
  <c r="BG22" i="8"/>
  <c r="BG23" i="8"/>
  <c r="BG26" i="8"/>
  <c r="BG20" i="8"/>
  <c r="Q271" i="5"/>
  <c r="P271" i="5"/>
  <c r="P272" i="5"/>
  <c r="Q272" i="5"/>
  <c r="BG10" i="8"/>
  <c r="P281" i="5"/>
  <c r="Q281" i="5"/>
  <c r="BG13" i="8"/>
  <c r="BG27" i="8"/>
  <c r="P280" i="5"/>
  <c r="Q280" i="5"/>
  <c r="BG15" i="8"/>
  <c r="BG9" i="8"/>
  <c r="BG18" i="8"/>
  <c r="BG25" i="8"/>
  <c r="BG12" i="8"/>
  <c r="BG17" i="8"/>
  <c r="BK31" i="8" l="1"/>
  <c r="B251" i="5"/>
  <c r="BK34" i="8"/>
  <c r="F261" i="5"/>
  <c r="F262" i="5"/>
  <c r="BJ34" i="8"/>
  <c r="BK32" i="8"/>
  <c r="F251" i="5"/>
  <c r="B252" i="5"/>
  <c r="BJ31" i="8"/>
  <c r="F252" i="5"/>
  <c r="BJ32" i="8"/>
  <c r="B262" i="5"/>
  <c r="BJ33" i="8"/>
  <c r="BK33" i="8"/>
  <c r="B261" i="5"/>
  <c r="BO20" i="8" l="1"/>
  <c r="CE20" i="8" s="1"/>
  <c r="BQ13" i="8"/>
  <c r="CG13" i="8" s="1"/>
  <c r="BK14" i="8"/>
  <c r="BK11" i="8"/>
  <c r="BQ23" i="8"/>
  <c r="CG23" i="8" s="1"/>
  <c r="BK6" i="8"/>
  <c r="BK21" i="8"/>
  <c r="BK17" i="8"/>
  <c r="BK15" i="8"/>
  <c r="BM19" i="8"/>
  <c r="CC19" i="8" s="1"/>
  <c r="BM22" i="8"/>
  <c r="CC22" i="8" s="1"/>
  <c r="BL20" i="8"/>
  <c r="CB20" i="8" s="1"/>
  <c r="BM15" i="8"/>
  <c r="CC15" i="8" s="1"/>
  <c r="BP25" i="8"/>
  <c r="CF25" i="8" s="1"/>
  <c r="BL15" i="8"/>
  <c r="CB15" i="8" s="1"/>
  <c r="BM10" i="8"/>
  <c r="CC10" i="8" s="1"/>
  <c r="BQ12" i="8"/>
  <c r="CG12" i="8" s="1"/>
  <c r="BO14" i="8"/>
  <c r="CE14" i="8" s="1"/>
  <c r="BQ14" i="8"/>
  <c r="CG14" i="8" s="1"/>
  <c r="BO17" i="8"/>
  <c r="CE17" i="8" s="1"/>
  <c r="BK20" i="8"/>
  <c r="BQ17" i="8"/>
  <c r="CG17" i="8" s="1"/>
  <c r="BO10" i="8"/>
  <c r="CE10" i="8" s="1"/>
  <c r="BO25" i="8"/>
  <c r="CE25" i="8" s="1"/>
  <c r="BP11" i="8"/>
  <c r="CF11" i="8" s="1"/>
  <c r="BM9" i="8"/>
  <c r="CC9" i="8" s="1"/>
  <c r="BL21" i="8"/>
  <c r="CB21" i="8" s="1"/>
  <c r="BM14" i="8"/>
  <c r="CC14" i="8" s="1"/>
  <c r="BM24" i="8"/>
  <c r="CC24" i="8" s="1"/>
  <c r="BM11" i="8"/>
  <c r="CC11" i="8" s="1"/>
  <c r="BK26" i="8"/>
  <c r="BK27" i="8"/>
  <c r="BO26" i="8"/>
  <c r="CE26" i="8" s="1"/>
  <c r="BK23" i="8"/>
  <c r="BK10" i="8"/>
  <c r="BQ7" i="8"/>
  <c r="CG7" i="8" s="1"/>
  <c r="BO24" i="8"/>
  <c r="CE24" i="8" s="1"/>
  <c r="BO13" i="8"/>
  <c r="CE13" i="8" s="1"/>
  <c r="BP19" i="8"/>
  <c r="CF19" i="8" s="1"/>
  <c r="BM18" i="8"/>
  <c r="CC18" i="8" s="1"/>
  <c r="BP6" i="8"/>
  <c r="CF6" i="8" s="1"/>
  <c r="BL27" i="8"/>
  <c r="CB27" i="8" s="1"/>
  <c r="BQ26" i="8"/>
  <c r="CG26" i="8" s="1"/>
  <c r="BK8" i="8"/>
  <c r="BQ27" i="8"/>
  <c r="CG27" i="8" s="1"/>
  <c r="BQ25" i="8"/>
  <c r="CG25" i="8" s="1"/>
  <c r="BO18" i="8"/>
  <c r="CE18" i="8" s="1"/>
  <c r="BO15" i="8"/>
  <c r="CE15" i="8" s="1"/>
  <c r="BK25" i="8"/>
  <c r="BO22" i="8"/>
  <c r="CE22" i="8" s="1"/>
  <c r="BQ10" i="8"/>
  <c r="CG10" i="8" s="1"/>
  <c r="BL24" i="8"/>
  <c r="CB24" i="8" s="1"/>
  <c r="BL8" i="8"/>
  <c r="CB8" i="8" s="1"/>
  <c r="BP20" i="8"/>
  <c r="CF20" i="8" s="1"/>
  <c r="BL23" i="8"/>
  <c r="CB23" i="8" s="1"/>
  <c r="BL6" i="8"/>
  <c r="BM13" i="8"/>
  <c r="CC13" i="8" s="1"/>
  <c r="BL13" i="8"/>
  <c r="CB13" i="8" s="1"/>
  <c r="BL10" i="8"/>
  <c r="CB10" i="8" s="1"/>
  <c r="BQ9" i="8"/>
  <c r="CG9" i="8" s="1"/>
  <c r="BQ15" i="8"/>
  <c r="CG15" i="8" s="1"/>
  <c r="BO27" i="8"/>
  <c r="CE27" i="8" s="1"/>
  <c r="BK7" i="8"/>
  <c r="BQ19" i="8"/>
  <c r="CG19" i="8" s="1"/>
  <c r="BO12" i="8"/>
  <c r="CE12" i="8" s="1"/>
  <c r="BQ6" i="8"/>
  <c r="CG6" i="8" s="1"/>
  <c r="BK18" i="8"/>
  <c r="BP14" i="8"/>
  <c r="CF14" i="8" s="1"/>
  <c r="BM16" i="8"/>
  <c r="CC16" i="8" s="1"/>
  <c r="BM25" i="8"/>
  <c r="CC25" i="8" s="1"/>
  <c r="BK16" i="8"/>
  <c r="BK24" i="8"/>
  <c r="BK9" i="8"/>
  <c r="BQ8" i="8"/>
  <c r="CG8" i="8" s="1"/>
  <c r="BO6" i="8"/>
  <c r="CE6" i="8" s="1"/>
  <c r="BO11" i="8"/>
  <c r="CE11" i="8" s="1"/>
  <c r="BK19" i="8"/>
  <c r="BO19" i="8"/>
  <c r="CE19" i="8" s="1"/>
  <c r="BM6" i="8"/>
  <c r="CC6" i="8" s="1"/>
  <c r="BM27" i="8"/>
  <c r="CC27" i="8" s="1"/>
  <c r="BL12" i="8"/>
  <c r="CB12" i="8" s="1"/>
  <c r="BP12" i="8"/>
  <c r="CF12" i="8" s="1"/>
  <c r="BP15" i="8"/>
  <c r="CF15" i="8" s="1"/>
  <c r="BM12" i="8"/>
  <c r="CC12" i="8" s="1"/>
  <c r="BO16" i="8"/>
  <c r="CE16" i="8" s="1"/>
  <c r="BO7" i="8"/>
  <c r="CE7" i="8" s="1"/>
  <c r="BO21" i="8"/>
  <c r="CE21" i="8" s="1"/>
  <c r="BO23" i="8"/>
  <c r="CE23" i="8" s="1"/>
  <c r="BQ20" i="8"/>
  <c r="CG20" i="8" s="1"/>
  <c r="BK22" i="8"/>
  <c r="BK12" i="8"/>
  <c r="BQ21" i="8"/>
  <c r="CG21" i="8" s="1"/>
  <c r="BL7" i="8"/>
  <c r="CB7" i="8" s="1"/>
  <c r="BP16" i="8"/>
  <c r="CF16" i="8" s="1"/>
  <c r="BM17" i="8"/>
  <c r="CC17" i="8" s="1"/>
  <c r="BM23" i="8"/>
  <c r="CC23" i="8" s="1"/>
  <c r="BL19" i="8"/>
  <c r="CB19" i="8" s="1"/>
  <c r="BK13" i="8"/>
  <c r="BL9" i="8"/>
  <c r="CB9" i="8" s="1"/>
  <c r="BM7" i="8"/>
  <c r="CC7" i="8" s="1"/>
  <c r="BP24" i="8"/>
  <c r="CF24" i="8" s="1"/>
  <c r="BP23" i="8"/>
  <c r="CF23" i="8" s="1"/>
  <c r="BO8" i="8"/>
  <c r="CE8" i="8" s="1"/>
  <c r="BM20" i="8"/>
  <c r="CC20" i="8" s="1"/>
  <c r="BP22" i="8"/>
  <c r="CF22" i="8" s="1"/>
  <c r="BL18" i="8"/>
  <c r="CB18" i="8" s="1"/>
  <c r="BP18" i="8"/>
  <c r="CF18" i="8" s="1"/>
  <c r="BQ24" i="8"/>
  <c r="CG24" i="8" s="1"/>
  <c r="BQ18" i="8"/>
  <c r="CG18" i="8" s="1"/>
  <c r="BM26" i="8"/>
  <c r="CC26" i="8" s="1"/>
  <c r="BP27" i="8"/>
  <c r="CF27" i="8" s="1"/>
  <c r="BL14" i="8"/>
  <c r="CB14" i="8" s="1"/>
  <c r="BL26" i="8"/>
  <c r="CB26" i="8" s="1"/>
  <c r="BQ16" i="8"/>
  <c r="CG16" i="8" s="1"/>
  <c r="BL25" i="8"/>
  <c r="CB25" i="8" s="1"/>
  <c r="BM8" i="8"/>
  <c r="CC8" i="8" s="1"/>
  <c r="BP10" i="8"/>
  <c r="CF10" i="8" s="1"/>
  <c r="BL11" i="8"/>
  <c r="CB11" i="8" s="1"/>
  <c r="BM21" i="8"/>
  <c r="CC21" i="8" s="1"/>
  <c r="BO9" i="8"/>
  <c r="CE9" i="8" s="1"/>
  <c r="BL17" i="8"/>
  <c r="CB17" i="8" s="1"/>
  <c r="BL16" i="8"/>
  <c r="CB16" i="8" s="1"/>
  <c r="BQ22" i="8"/>
  <c r="CG22" i="8" s="1"/>
  <c r="BP7" i="8"/>
  <c r="CF7" i="8" s="1"/>
  <c r="BP8" i="8"/>
  <c r="CF8" i="8" s="1"/>
  <c r="BQ11" i="8"/>
  <c r="CG11" i="8" s="1"/>
  <c r="BP9" i="8"/>
  <c r="CF9" i="8" s="1"/>
  <c r="BP21" i="8"/>
  <c r="CF21" i="8" s="1"/>
  <c r="BP13" i="8"/>
  <c r="CF13" i="8" s="1"/>
  <c r="BP26" i="8"/>
  <c r="CF26" i="8" s="1"/>
  <c r="BL22" i="8"/>
  <c r="CB22" i="8" s="1"/>
  <c r="BP17" i="8"/>
  <c r="CF17" i="8" s="1"/>
  <c r="BN23" i="8" l="1"/>
  <c r="CD23" i="8" s="1"/>
  <c r="BR19" i="8"/>
  <c r="CH19" i="8" s="1"/>
  <c r="BN15" i="8"/>
  <c r="CD15" i="8" s="1"/>
  <c r="BR21" i="8"/>
  <c r="CH21" i="8" s="1"/>
  <c r="BR20" i="8"/>
  <c r="CH20" i="8" s="1"/>
  <c r="BR25" i="8"/>
  <c r="CH25" i="8" s="1"/>
  <c r="BN14" i="8"/>
  <c r="CD14" i="8" s="1"/>
  <c r="BN6" i="8"/>
  <c r="CD6" i="8" s="1"/>
  <c r="CB6" i="8"/>
  <c r="BR9" i="8"/>
  <c r="CH9" i="8" s="1"/>
  <c r="BN11" i="8"/>
  <c r="CD11" i="8" s="1"/>
  <c r="BR8" i="8"/>
  <c r="CH8" i="8" s="1"/>
  <c r="BR10" i="8"/>
  <c r="CH10" i="8" s="1"/>
  <c r="BR24" i="8"/>
  <c r="CH24" i="8" s="1"/>
  <c r="BN7" i="8"/>
  <c r="CD7" i="8" s="1"/>
  <c r="BN8" i="8"/>
  <c r="CD8" i="8" s="1"/>
  <c r="BR23" i="8"/>
  <c r="CH23" i="8" s="1"/>
  <c r="BR14" i="8"/>
  <c r="CH14" i="8" s="1"/>
  <c r="BN24" i="8"/>
  <c r="CD24" i="8" s="1"/>
  <c r="BN20" i="8"/>
  <c r="CD20" i="8" s="1"/>
  <c r="BR17" i="8"/>
  <c r="CH17" i="8" s="1"/>
  <c r="BN22" i="8"/>
  <c r="CD22" i="8" s="1"/>
  <c r="BN25" i="8"/>
  <c r="CD25" i="8" s="1"/>
  <c r="BR18" i="8"/>
  <c r="CH18" i="8" s="1"/>
  <c r="BN9" i="8"/>
  <c r="CD9" i="8" s="1"/>
  <c r="BR15" i="8"/>
  <c r="CH15" i="8" s="1"/>
  <c r="BN10" i="8"/>
  <c r="CD10" i="8" s="1"/>
  <c r="BN21" i="8"/>
  <c r="CD21" i="8" s="1"/>
  <c r="BR27" i="8"/>
  <c r="CH27" i="8" s="1"/>
  <c r="BR7" i="8"/>
  <c r="CH7" i="8" s="1"/>
  <c r="BR26" i="8"/>
  <c r="CH26" i="8" s="1"/>
  <c r="BN18" i="8"/>
  <c r="CD18" i="8" s="1"/>
  <c r="BR12" i="8"/>
  <c r="CH12" i="8" s="1"/>
  <c r="BN13" i="8"/>
  <c r="CD13" i="8" s="1"/>
  <c r="BN27" i="8"/>
  <c r="CD27" i="8" s="1"/>
  <c r="BR16" i="8"/>
  <c r="CH16" i="8" s="1"/>
  <c r="BN16" i="8"/>
  <c r="CD16" i="8" s="1"/>
  <c r="BR13" i="8"/>
  <c r="CH13" i="8" s="1"/>
  <c r="BN17" i="8"/>
  <c r="CD17" i="8" s="1"/>
  <c r="BN26" i="8"/>
  <c r="CD26" i="8" s="1"/>
  <c r="BR22" i="8"/>
  <c r="CH22" i="8" s="1"/>
  <c r="BN19" i="8"/>
  <c r="CD19" i="8" s="1"/>
  <c r="BN12" i="8"/>
  <c r="CD12" i="8" s="1"/>
  <c r="BR6" i="8"/>
  <c r="CH6" i="8" s="1"/>
  <c r="BR11" i="8"/>
  <c r="CH11" i="8" s="1"/>
  <c r="BS7" i="8" l="1"/>
  <c r="BS14" i="8"/>
  <c r="BS20" i="8"/>
  <c r="BS21" i="8"/>
  <c r="BS13" i="8"/>
  <c r="BS8" i="8"/>
  <c r="BS19" i="8"/>
  <c r="BS27" i="8"/>
  <c r="BS9" i="8"/>
  <c r="BS15" i="8"/>
  <c r="BS11" i="8"/>
  <c r="BS24" i="8"/>
  <c r="BS22" i="8"/>
  <c r="BS6" i="8"/>
  <c r="BS26" i="8"/>
  <c r="BS23" i="8"/>
  <c r="BS16" i="8"/>
  <c r="BS25" i="8"/>
  <c r="BS17" i="8"/>
  <c r="BS12" i="8"/>
  <c r="BS18" i="8"/>
  <c r="BS10" i="8"/>
  <c r="CI27" i="8" l="1"/>
  <c r="CL27" i="8" s="1"/>
  <c r="CI8" i="8"/>
  <c r="CL8" i="8" s="1"/>
  <c r="CI12" i="8"/>
  <c r="CL12" i="8" s="1"/>
  <c r="CI24" i="8"/>
  <c r="CL24" i="8" s="1"/>
  <c r="CI21" i="8"/>
  <c r="CL21" i="8" s="1"/>
  <c r="CI26" i="8"/>
  <c r="CL26" i="8" s="1"/>
  <c r="CI10" i="8"/>
  <c r="CL10" i="8" s="1"/>
  <c r="CI18" i="8"/>
  <c r="CL18" i="8" s="1"/>
  <c r="CI11" i="8"/>
  <c r="CL11" i="8" s="1"/>
  <c r="CI20" i="8"/>
  <c r="CL20" i="8" s="1"/>
  <c r="CI23" i="8"/>
  <c r="CL23" i="8" s="1"/>
  <c r="CI6" i="8"/>
  <c r="CL6" i="8" s="1"/>
  <c r="CI22" i="8"/>
  <c r="CL22" i="8" s="1"/>
  <c r="CI17" i="8"/>
  <c r="CL17" i="8" s="1"/>
  <c r="CI25" i="8"/>
  <c r="CL25" i="8" s="1"/>
  <c r="CI15" i="8"/>
  <c r="CL15" i="8" s="1"/>
  <c r="CI14" i="8"/>
  <c r="CL14" i="8" s="1"/>
  <c r="CI19" i="8"/>
  <c r="CL19" i="8" s="1"/>
  <c r="CI13" i="8"/>
  <c r="CL13" i="8" s="1"/>
  <c r="CI16" i="8"/>
  <c r="CL16" i="8" s="1"/>
  <c r="CI9" i="8"/>
  <c r="CL9" i="8" s="1"/>
  <c r="CI7" i="8"/>
  <c r="CL7" i="8" s="1"/>
  <c r="CO12" i="8" l="1"/>
  <c r="CR12" i="8" s="1"/>
  <c r="CO23" i="8"/>
  <c r="CR23" i="8" s="1"/>
  <c r="CO8" i="8"/>
  <c r="CR8" i="8" s="1"/>
  <c r="CO6" i="8"/>
  <c r="CR6" i="8" s="1"/>
  <c r="CO9" i="8"/>
  <c r="CR9" i="8" s="1"/>
  <c r="C9" i="8" s="1"/>
  <c r="CO13" i="8"/>
  <c r="CR13" i="8" s="1"/>
  <c r="G13" i="8" s="1"/>
  <c r="CO16" i="8"/>
  <c r="CR16" i="8" s="1"/>
  <c r="E16" i="8" s="1"/>
  <c r="CO15" i="8"/>
  <c r="CR15" i="8" s="1"/>
  <c r="I15" i="8" s="1"/>
  <c r="CO17" i="8"/>
  <c r="CR17" i="8" s="1"/>
  <c r="CO10" i="8"/>
  <c r="CR10" i="8" s="1"/>
  <c r="CO11" i="8"/>
  <c r="CR11" i="8" s="1"/>
  <c r="CO27" i="8"/>
  <c r="CR27" i="8" s="1"/>
  <c r="CO21" i="8"/>
  <c r="CR21" i="8" s="1"/>
  <c r="I21" i="8" s="1"/>
  <c r="CO25" i="8"/>
  <c r="CR25" i="8" s="1"/>
  <c r="E25" i="8" s="1"/>
  <c r="CO26" i="8"/>
  <c r="CR26" i="8" s="1"/>
  <c r="D26" i="8" s="1"/>
  <c r="CO19" i="8"/>
  <c r="CR19" i="8" s="1"/>
  <c r="E19" i="8" s="1"/>
  <c r="CO20" i="8"/>
  <c r="CR20" i="8" s="1"/>
  <c r="CO24" i="8"/>
  <c r="CR24" i="8" s="1"/>
  <c r="G24" i="8" s="1"/>
  <c r="CO22" i="8"/>
  <c r="CR22" i="8" s="1"/>
  <c r="I22" i="8" s="1"/>
  <c r="CO18" i="8"/>
  <c r="CR18" i="8" s="1"/>
  <c r="E18" i="8" s="1"/>
  <c r="CO7" i="8"/>
  <c r="CR7" i="8" s="1"/>
  <c r="E7" i="8" s="1"/>
  <c r="CO14" i="8"/>
  <c r="CR14" i="8" s="1"/>
  <c r="I14" i="8" s="1"/>
  <c r="D22" i="8"/>
  <c r="E22" i="8"/>
  <c r="E24" i="8"/>
  <c r="I24" i="8"/>
  <c r="D18" i="8"/>
  <c r="H18" i="8"/>
  <c r="H6" i="8"/>
  <c r="E6" i="8"/>
  <c r="G6" i="8"/>
  <c r="I6" i="8"/>
  <c r="G11" i="8"/>
  <c r="I11" i="8"/>
  <c r="E11" i="8"/>
  <c r="D11" i="8"/>
  <c r="H11" i="8"/>
  <c r="G10" i="8"/>
  <c r="D10" i="8"/>
  <c r="I10" i="8"/>
  <c r="H10" i="8"/>
  <c r="E10" i="8"/>
  <c r="I17" i="8"/>
  <c r="D17" i="8"/>
  <c r="H17" i="8"/>
  <c r="E17" i="8"/>
  <c r="G17" i="8"/>
  <c r="E8" i="8"/>
  <c r="D8" i="8"/>
  <c r="I8" i="8"/>
  <c r="H8" i="8"/>
  <c r="G8" i="8"/>
  <c r="H23" i="8"/>
  <c r="G23" i="8"/>
  <c r="I23" i="8"/>
  <c r="E23" i="8"/>
  <c r="D23" i="8"/>
  <c r="G12" i="8"/>
  <c r="I12" i="8"/>
  <c r="H12" i="8"/>
  <c r="D12" i="8"/>
  <c r="E12" i="8"/>
  <c r="G20" i="8"/>
  <c r="I20" i="8"/>
  <c r="E20" i="8"/>
  <c r="H20" i="8"/>
  <c r="D20" i="8"/>
  <c r="I25" i="8"/>
  <c r="G25" i="8"/>
  <c r="E21" i="8"/>
  <c r="D13" i="8"/>
  <c r="I13" i="8"/>
  <c r="D9" i="8"/>
  <c r="E9" i="8"/>
  <c r="D27" i="8"/>
  <c r="I27" i="8"/>
  <c r="H27" i="8"/>
  <c r="G27" i="8"/>
  <c r="E27" i="8"/>
  <c r="D6" i="8"/>
  <c r="C6" i="8"/>
  <c r="C22" i="8"/>
  <c r="C24" i="8"/>
  <c r="C10" i="8"/>
  <c r="C17" i="8"/>
  <c r="C8" i="8"/>
  <c r="C23" i="8"/>
  <c r="C12" i="8"/>
  <c r="C11" i="8"/>
  <c r="C20" i="8"/>
  <c r="C7" i="8"/>
  <c r="C21" i="8"/>
  <c r="C18" i="8"/>
  <c r="C27" i="8"/>
  <c r="G26" i="8" l="1"/>
  <c r="C26" i="8"/>
  <c r="E26" i="8"/>
  <c r="H26" i="8"/>
  <c r="I16" i="8"/>
  <c r="I26" i="8"/>
  <c r="H16" i="8"/>
  <c r="G16" i="8"/>
  <c r="F16" i="8" s="1"/>
  <c r="K16" i="8" s="1"/>
  <c r="C16" i="8"/>
  <c r="D16" i="8"/>
  <c r="G7" i="8"/>
  <c r="H24" i="8"/>
  <c r="H15" i="8"/>
  <c r="D24" i="8"/>
  <c r="G19" i="8"/>
  <c r="G15" i="8"/>
  <c r="H7" i="8"/>
  <c r="I18" i="8"/>
  <c r="H22" i="8"/>
  <c r="H13" i="8"/>
  <c r="J13" i="8" s="1"/>
  <c r="D7" i="8"/>
  <c r="H25" i="8"/>
  <c r="D15" i="8"/>
  <c r="G18" i="8"/>
  <c r="F18" i="8" s="1"/>
  <c r="K18" i="8" s="1"/>
  <c r="G22" i="8"/>
  <c r="H19" i="8"/>
  <c r="C13" i="8"/>
  <c r="G9" i="8"/>
  <c r="F9" i="8" s="1"/>
  <c r="K9" i="8" s="1"/>
  <c r="G21" i="8"/>
  <c r="I7" i="8"/>
  <c r="E14" i="8"/>
  <c r="D14" i="8"/>
  <c r="D19" i="8"/>
  <c r="E13" i="8"/>
  <c r="F13" i="8" s="1"/>
  <c r="K13" i="8" s="1"/>
  <c r="H9" i="8"/>
  <c r="H21" i="8"/>
  <c r="J21" i="8" s="1"/>
  <c r="H14" i="8"/>
  <c r="C19" i="8"/>
  <c r="C15" i="8"/>
  <c r="I9" i="8"/>
  <c r="D21" i="8"/>
  <c r="D25" i="8"/>
  <c r="F25" i="8" s="1"/>
  <c r="K25" i="8" s="1"/>
  <c r="G14" i="8"/>
  <c r="E15" i="8"/>
  <c r="I19" i="8"/>
  <c r="C14" i="8"/>
  <c r="C25" i="8"/>
  <c r="J7" i="8"/>
  <c r="J18" i="8"/>
  <c r="J10" i="8"/>
  <c r="J15" i="8"/>
  <c r="J14" i="8"/>
  <c r="F27" i="8"/>
  <c r="K27" i="8" s="1"/>
  <c r="J23" i="8"/>
  <c r="J6" i="8"/>
  <c r="F26" i="8"/>
  <c r="K26" i="8" s="1"/>
  <c r="J17" i="8"/>
  <c r="F11" i="8"/>
  <c r="K11" i="8" s="1"/>
  <c r="F10" i="8"/>
  <c r="K10" i="8" s="1"/>
  <c r="F8" i="8"/>
  <c r="K8" i="8" s="1"/>
  <c r="J12" i="8"/>
  <c r="F22" i="8"/>
  <c r="K22" i="8" s="1"/>
  <c r="F7" i="8"/>
  <c r="K7" i="8" s="1"/>
  <c r="F23" i="8"/>
  <c r="K23" i="8" s="1"/>
  <c r="F6" i="8"/>
  <c r="K6" i="8" s="1"/>
  <c r="J11" i="8"/>
  <c r="F12" i="8"/>
  <c r="K12" i="8" s="1"/>
  <c r="J8" i="8"/>
  <c r="J24" i="8"/>
  <c r="J25" i="8"/>
  <c r="F17" i="8"/>
  <c r="K17" i="8" s="1"/>
  <c r="J16" i="8"/>
  <c r="J26" i="8"/>
  <c r="F20" i="8"/>
  <c r="K20" i="8" s="1"/>
  <c r="F24" i="8"/>
  <c r="K24" i="8" s="1"/>
  <c r="J27" i="8"/>
  <c r="J20" i="8"/>
  <c r="J22" i="8"/>
  <c r="J9" i="8" l="1"/>
  <c r="J19" i="8"/>
  <c r="F15" i="8"/>
  <c r="K15" i="8" s="1"/>
  <c r="F21" i="8"/>
  <c r="K21" i="8" s="1"/>
  <c r="F19" i="8"/>
  <c r="K19" i="8" s="1"/>
  <c r="F14" i="8"/>
  <c r="K14" i="8" s="1"/>
</calcChain>
</file>

<file path=xl/sharedStrings.xml><?xml version="1.0" encoding="utf-8"?>
<sst xmlns="http://schemas.openxmlformats.org/spreadsheetml/2006/main" count="1089" uniqueCount="134">
  <si>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</si>
  <si>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</si>
  <si>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</si>
  <si>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</si>
  <si>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</si>
  <si>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</si>
  <si>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</si>
  <si>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</si>
  <si>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</si>
  <si>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</si>
  <si>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</si>
  <si>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</si>
  <si>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</si>
  <si>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</si>
  <si>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</si>
  <si>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</si>
  <si>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</si>
  <si>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</si>
  <si>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</si>
  <si>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</si>
  <si>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</si>
  <si>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</si>
  <si>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</si>
  <si>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</si>
  <si>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</si>
  <si>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</si>
  <si>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</si>
  <si>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</si>
  <si>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</si>
  <si>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</si>
  <si>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</si>
  <si>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</si>
  <si>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</si>
  <si>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</si>
  <si>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</si>
  <si>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</si>
  <si>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ID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</si>
  <si>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</si>
  <si>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</si>
  <si>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</si>
  <si>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</si>
  <si>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</si>
  <si>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</si>
  <si>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</si>
  <si>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</si>
  <si>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</si>
  <si>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</si>
  <si>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</si>
  <si>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</si>
  <si>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</si>
  <si>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</si>
  <si>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</si>
  <si>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</si>
  <si>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Quartas de Final</t>
  </si>
  <si>
    <t>3º e 4º</t>
  </si>
  <si>
    <t>Repscagem</t>
  </si>
  <si>
    <t>Quartas</t>
  </si>
  <si>
    <t>Semi</t>
  </si>
  <si>
    <t>Ranking</t>
  </si>
  <si>
    <t>10º Rodada</t>
  </si>
  <si>
    <t>11º Rodada</t>
  </si>
  <si>
    <t>Oitavas de Final</t>
  </si>
  <si>
    <t>Time</t>
  </si>
  <si>
    <t>Nº</t>
  </si>
  <si>
    <t>Pontos Oitavas</t>
  </si>
  <si>
    <t>pontos 1 fase</t>
  </si>
  <si>
    <t>Semi - Final</t>
  </si>
  <si>
    <t>Pontos Quartas</t>
  </si>
  <si>
    <t>Pontos 1º fase + Oitavas</t>
  </si>
  <si>
    <t>Total</t>
  </si>
  <si>
    <t xml:space="preserve"> Final</t>
  </si>
  <si>
    <t>Pontos Semi</t>
  </si>
  <si>
    <t>Pontos Fases</t>
  </si>
  <si>
    <t>3º &amp; 4º</t>
  </si>
  <si>
    <t>GRUPO A</t>
  </si>
  <si>
    <t>GRUPO B</t>
  </si>
  <si>
    <t>1A</t>
  </si>
  <si>
    <t>2A</t>
  </si>
  <si>
    <t>3A</t>
  </si>
  <si>
    <t>4A</t>
  </si>
  <si>
    <t>5A</t>
  </si>
  <si>
    <t>6A</t>
  </si>
  <si>
    <t>7A</t>
  </si>
  <si>
    <t>8A</t>
  </si>
  <si>
    <t>9A</t>
  </si>
  <si>
    <t>10A</t>
  </si>
  <si>
    <t>11A</t>
  </si>
  <si>
    <t>19º</t>
  </si>
  <si>
    <t>20º</t>
  </si>
  <si>
    <t>21º</t>
  </si>
  <si>
    <t>22º</t>
  </si>
  <si>
    <t>13B</t>
  </si>
  <si>
    <t>14B</t>
  </si>
  <si>
    <t>15B</t>
  </si>
  <si>
    <t>16B</t>
  </si>
  <si>
    <t>17B</t>
  </si>
  <si>
    <t>18B</t>
  </si>
  <si>
    <t>19B</t>
  </si>
  <si>
    <t>20B</t>
  </si>
  <si>
    <t>21B</t>
  </si>
  <si>
    <t>22B</t>
  </si>
  <si>
    <t>X</t>
  </si>
  <si>
    <t>12B</t>
  </si>
  <si>
    <t>Beşiktaş</t>
  </si>
  <si>
    <t>Hoffenheim</t>
  </si>
  <si>
    <t>Real Sociedad</t>
  </si>
  <si>
    <t>Sporting</t>
  </si>
  <si>
    <t>Schalke 04</t>
  </si>
  <si>
    <t>Galatasaray</t>
  </si>
  <si>
    <t>Monaco</t>
  </si>
  <si>
    <t>Olympique</t>
  </si>
  <si>
    <t>West Ham</t>
  </si>
  <si>
    <t> Atalanta</t>
  </si>
  <si>
    <t>Celta De Vigo</t>
  </si>
  <si>
    <t>P S V</t>
  </si>
  <si>
    <t>Crystal Palace</t>
  </si>
  <si>
    <t>Borussia M</t>
  </si>
  <si>
    <t>Villarreal</t>
  </si>
  <si>
    <t>R B Leipzig</t>
  </si>
  <si>
    <t>Real Betis</t>
  </si>
  <si>
    <t>Everton</t>
  </si>
  <si>
    <t>Torino</t>
  </si>
  <si>
    <t>W.O</t>
  </si>
  <si>
    <t>Sevilla</t>
  </si>
  <si>
    <t>Athl. De Bilbao</t>
  </si>
  <si>
    <t xml:space="preserve">                    Atalanta                    Athl. De Bilbao                    Beşiktaş                    Borussia M.                    Celta De Vigo                    Crystal Palace                    Everton</t>
  </si>
  <si>
    <t xml:space="preserve">                  Galatasaray                Hoffenheim                      Monaco                  Olympique M.                         P S V                              R B Leipzig                         Real Betis               </t>
  </si>
  <si>
    <t xml:space="preserve">             Real Sociedad                Schalke 04                        Sevilla                             Sporting                              Torino                              Villarreal                            West Ham         </t>
  </si>
  <si>
    <t>Aprov.</t>
  </si>
  <si>
    <t>LXXIX Campeonato Tatooleague</t>
  </si>
  <si>
    <t>ok</t>
  </si>
  <si>
    <t xml:space="preserve">                     (André)                          (Renato)                             (Hugo)                         (Cayera)                             (Juninho)                           (Guilherme)                     (Bernardo)</t>
  </si>
  <si>
    <t xml:space="preserve">                        (Piu)                           (Diego)                            (Shrek)                         (Antônio)                           (Deyvid)                              (Mario)                               (Michael)</t>
  </si>
  <si>
    <t xml:space="preserve">                (Gustavão)                      (Tooty)                         (Ricardinho)                        (Stefany)                            (Rodrigo)                              (Roger)                               (Cristovão)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</si>
</sst>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20"/>
      <name val="Castellar"/>
      <family val="1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0"/>
      <color theme="1" tint="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22"/>
      <name val="Arial"/>
      <family val="2"/>
    </font>
    <font>
      <b/>
      <sz val="36"/>
      <name val="Calibri"/>
      <family val="2"/>
    </font>
    <font>
      <sz val="11"/>
      <color rgb="FF333333"/>
      <name val="Arial"/>
      <family val="2"/>
    </font>
    <font>
      <b/>
      <sz val="11"/>
      <color rgb="FF333333"/>
      <name val="Arial"/>
      <family val="2"/>
    </font>
    <font>
      <b/>
      <sz val="10"/>
      <color theme="0" tint="-0.499984740745262"/>
      <name val="Calibri"/>
      <family val="2"/>
      <scheme val="minor"/>
    </font>
    <font>
      <u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196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12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10" fillId="0" borderId="0" xfId="2" applyFont="1" applyAlignment="1" applyProtection="1">
      <alignment horizontal="center"/>
      <protection hidden="1"/>
    </xf>
    <xf numFmtId="0" fontId="11" fillId="0" borderId="0" xfId="2" applyFont="1" applyAlignment="1" applyProtection="1">
      <protection hidden="1"/>
    </xf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7" borderId="1" xfId="0" applyFont="1" applyFill="1" applyBorder="1" applyAlignment="1" applyProtection="1">
      <alignment horizontal="center" vertical="center"/>
      <protection hidden="1"/>
    </xf>
    <xf numFmtId="0" fontId="6" fillId="4" borderId="1" xfId="0" applyFont="1" applyFill="1" applyBorder="1" applyAlignment="1" applyProtection="1">
      <alignment horizontal="center" vertical="center"/>
      <protection hidden="1"/>
    </xf>
    <xf numFmtId="0" fontId="6" fillId="8" borderId="1" xfId="0" applyFont="1" applyFill="1" applyBorder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6" fillId="9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5" borderId="1" xfId="0" applyFont="1" applyFill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12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6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11" borderId="1" xfId="2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6" fillId="15" borderId="1" xfId="0" applyFont="1" applyFill="1" applyBorder="1" applyAlignment="1" applyProtection="1">
      <alignment horizontal="center" vertical="center"/>
      <protection hidden="1"/>
    </xf>
    <xf numFmtId="0" fontId="6" fillId="16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3" fillId="11" borderId="0" xfId="0" applyFont="1" applyFill="1" applyBorder="1" applyAlignment="1" applyProtection="1">
      <alignment horizontal="center"/>
      <protection hidden="1"/>
    </xf>
    <xf numFmtId="0" fontId="3" fillId="11" borderId="0" xfId="0" applyFont="1" applyFill="1" applyBorder="1" applyProtection="1">
      <protection hidden="1"/>
    </xf>
    <xf numFmtId="0" fontId="21" fillId="0" borderId="0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22" fillId="0" borderId="0" xfId="0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20" borderId="1" xfId="0" applyFont="1" applyFill="1" applyBorder="1" applyAlignment="1" applyProtection="1">
      <alignment horizontal="center" vertical="center"/>
      <protection hidden="1"/>
    </xf>
    <xf numFmtId="0" fontId="20" fillId="21" borderId="3" xfId="0" applyFont="1" applyFill="1" applyBorder="1" applyAlignment="1" applyProtection="1">
      <alignment horizontal="center" vertical="center" wrapText="1"/>
      <protection hidden="1"/>
    </xf>
    <xf numFmtId="0" fontId="3" fillId="20" borderId="1" xfId="0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/>
      <protection hidden="1"/>
    </xf>
    <xf numFmtId="0" fontId="3" fillId="20" borderId="1" xfId="0" applyFont="1" applyFill="1" applyBorder="1" applyAlignment="1" applyProtection="1">
      <alignment horizontal="center"/>
      <protection hidden="1"/>
    </xf>
    <xf numFmtId="0" fontId="23" fillId="21" borderId="3" xfId="0" applyFont="1" applyFill="1" applyBorder="1" applyAlignment="1" applyProtection="1">
      <alignment horizontal="center" wrapText="1"/>
      <protection hidden="1"/>
    </xf>
    <xf numFmtId="0" fontId="24" fillId="20" borderId="1" xfId="0" applyFont="1" applyFill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 applyProtection="1">
      <alignment horizontal="center" wrapText="1"/>
      <protection hidden="1"/>
    </xf>
    <xf numFmtId="0" fontId="24" fillId="0" borderId="0" xfId="0" applyFont="1" applyFill="1" applyBorder="1" applyAlignment="1" applyProtection="1">
      <alignment horizontal="center" wrapText="1"/>
      <protection hidden="1"/>
    </xf>
    <xf numFmtId="0" fontId="25" fillId="0" borderId="0" xfId="0" applyFont="1" applyFill="1" applyBorder="1" applyAlignment="1" applyProtection="1">
      <alignment horizontal="center"/>
      <protection hidden="1"/>
    </xf>
    <xf numFmtId="0" fontId="24" fillId="0" borderId="0" xfId="0" applyFont="1" applyFill="1" applyBorder="1" applyAlignment="1" applyProtection="1">
      <alignment horizontal="center"/>
      <protection hidden="1"/>
    </xf>
    <xf numFmtId="0" fontId="20" fillId="21" borderId="3" xfId="0" applyFont="1" applyFill="1" applyBorder="1" applyAlignment="1" applyProtection="1">
      <alignment horizontal="center" wrapText="1"/>
      <protection hidden="1"/>
    </xf>
    <xf numFmtId="0" fontId="3" fillId="20" borderId="1" xfId="0" applyFont="1" applyFill="1" applyBorder="1" applyAlignment="1" applyProtection="1">
      <alignment horizontal="center" wrapText="1"/>
      <protection hidden="1"/>
    </xf>
    <xf numFmtId="0" fontId="26" fillId="0" borderId="0" xfId="0" applyFont="1" applyFill="1" applyBorder="1" applyAlignment="1" applyProtection="1">
      <alignment horizontal="left" vertical="center"/>
      <protection hidden="1"/>
    </xf>
    <xf numFmtId="0" fontId="27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21" fillId="0" borderId="0" xfId="0" applyFont="1" applyFill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2" fillId="0" borderId="11" xfId="0" applyFont="1" applyFill="1" applyBorder="1" applyAlignment="1" applyProtection="1">
      <alignment horizontal="center"/>
      <protection hidden="1"/>
    </xf>
    <xf numFmtId="0" fontId="2" fillId="0" borderId="11" xfId="0" applyFont="1" applyFill="1" applyBorder="1" applyProtection="1">
      <protection hidden="1"/>
    </xf>
    <xf numFmtId="0" fontId="2" fillId="0" borderId="13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0" fontId="2" fillId="0" borderId="6" xfId="0" applyFont="1" applyFill="1" applyBorder="1" applyAlignment="1" applyProtection="1">
      <alignment horizontal="center"/>
      <protection hidden="1"/>
    </xf>
    <xf numFmtId="0" fontId="2" fillId="0" borderId="6" xfId="0" applyFont="1" applyFill="1" applyBorder="1" applyProtection="1">
      <protection hidden="1"/>
    </xf>
    <xf numFmtId="0" fontId="2" fillId="0" borderId="14" xfId="0" applyFont="1" applyFill="1" applyBorder="1" applyProtection="1">
      <protection hidden="1"/>
    </xf>
    <xf numFmtId="0" fontId="2" fillId="0" borderId="12" xfId="0" applyFont="1" applyFill="1" applyBorder="1" applyAlignment="1" applyProtection="1">
      <alignment horizontal="center"/>
      <protection hidden="1"/>
    </xf>
    <xf numFmtId="0" fontId="2" fillId="0" borderId="4" xfId="0" applyFont="1" applyFill="1" applyBorder="1" applyAlignment="1" applyProtection="1">
      <alignment horizontal="center"/>
      <protection hidden="1"/>
    </xf>
    <xf numFmtId="0" fontId="2" fillId="0" borderId="15" xfId="0" applyFont="1" applyFill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3" fillId="19" borderId="1" xfId="2" applyFont="1" applyFill="1" applyBorder="1" applyAlignment="1" applyProtection="1">
      <alignment horizontal="center" vertical="center"/>
      <protection hidden="1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3" fillId="0" borderId="0" xfId="0" applyFont="1"/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11" xfId="0" applyFont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vertical="center" textRotation="255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Protection="1">
      <protection hidden="1"/>
    </xf>
    <xf numFmtId="0" fontId="6" fillId="14" borderId="1" xfId="1" applyFont="1" applyFill="1" applyBorder="1" applyAlignment="1" applyProtection="1">
      <alignment horizontal="center" vertical="center"/>
      <protection hidden="1"/>
    </xf>
    <xf numFmtId="0" fontId="6" fillId="6" borderId="1" xfId="1" applyFont="1" applyFill="1" applyBorder="1" applyAlignment="1" applyProtection="1">
      <alignment horizontal="center" vertical="center"/>
      <protection hidden="1"/>
    </xf>
    <xf numFmtId="0" fontId="3" fillId="19" borderId="1" xfId="1" applyFont="1" applyFill="1" applyBorder="1" applyAlignment="1" applyProtection="1">
      <alignment horizontal="center" vertical="center"/>
      <protection hidden="1"/>
    </xf>
    <xf numFmtId="0" fontId="7" fillId="19" borderId="1" xfId="1" applyFont="1" applyFill="1" applyBorder="1" applyAlignment="1" applyProtection="1">
      <alignment horizontal="center" vertical="center"/>
      <protection hidden="1"/>
    </xf>
    <xf numFmtId="0" fontId="7" fillId="0" borderId="0" xfId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/>
      <protection hidden="1"/>
    </xf>
    <xf numFmtId="10" fontId="3" fillId="23" borderId="1" xfId="1" applyNumberFormat="1" applyFont="1" applyFill="1" applyBorder="1" applyAlignment="1" applyProtection="1">
      <alignment horizontal="center" vertical="center"/>
      <protection hidden="1"/>
    </xf>
    <xf numFmtId="0" fontId="3" fillId="23" borderId="1" xfId="1" applyFont="1" applyFill="1" applyBorder="1" applyAlignment="1" applyProtection="1">
      <alignment horizontal="center" vertical="center"/>
      <protection hidden="1"/>
    </xf>
    <xf numFmtId="10" fontId="3" fillId="0" borderId="1" xfId="1" applyNumberFormat="1" applyFont="1" applyFill="1" applyBorder="1" applyAlignment="1" applyProtection="1">
      <alignment horizontal="center" vertical="center"/>
      <protection hidden="1"/>
    </xf>
    <xf numFmtId="10" fontId="3" fillId="11" borderId="1" xfId="1" applyNumberFormat="1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Border="1" applyAlignment="1" applyProtection="1">
      <alignment horizontal="center"/>
      <protection hidden="1"/>
    </xf>
    <xf numFmtId="0" fontId="6" fillId="7" borderId="1" xfId="0" applyFont="1" applyFill="1" applyBorder="1" applyAlignment="1" applyProtection="1">
      <alignment horizontal="center"/>
      <protection hidden="1"/>
    </xf>
    <xf numFmtId="0" fontId="28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28" fillId="0" borderId="0" xfId="2" applyFont="1" applyAlignment="1" applyProtection="1">
      <alignment horizontal="center" vertical="center"/>
      <protection hidden="1"/>
    </xf>
    <xf numFmtId="14" fontId="9" fillId="0" borderId="0" xfId="2" applyNumberFormat="1" applyFont="1" applyAlignment="1" applyProtection="1">
      <alignment horizontal="center"/>
      <protection hidden="1"/>
    </xf>
    <xf numFmtId="0" fontId="9" fillId="0" borderId="0" xfId="2" applyFont="1" applyAlignment="1" applyProtection="1">
      <alignment horizontal="center"/>
      <protection hidden="1"/>
    </xf>
    <xf numFmtId="0" fontId="3" fillId="0" borderId="9" xfId="0" applyFont="1" applyFill="1" applyBorder="1" applyAlignment="1" applyProtection="1">
      <alignment horizontal="center" vertical="center" textRotation="255"/>
      <protection hidden="1"/>
    </xf>
    <xf numFmtId="0" fontId="3" fillId="0" borderId="3" xfId="0" applyFont="1" applyFill="1" applyBorder="1" applyAlignment="1" applyProtection="1">
      <alignment horizontal="center" vertical="center" textRotation="255"/>
      <protection hidden="1"/>
    </xf>
    <xf numFmtId="0" fontId="3" fillId="0" borderId="10" xfId="0" applyFont="1" applyFill="1" applyBorder="1" applyAlignment="1" applyProtection="1">
      <alignment horizontal="center" vertical="center" textRotation="255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9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6" fillId="22" borderId="1" xfId="0" applyFont="1" applyFill="1" applyBorder="1" applyAlignment="1" applyProtection="1">
      <alignment horizontal="center"/>
      <protection hidden="1"/>
    </xf>
    <xf numFmtId="0" fontId="3" fillId="24" borderId="11" xfId="0" applyFont="1" applyFill="1" applyBorder="1" applyAlignment="1" applyProtection="1">
      <alignment horizontal="center"/>
      <protection hidden="1"/>
    </xf>
    <xf numFmtId="0" fontId="32" fillId="0" borderId="0" xfId="2" applyFont="1" applyProtection="1">
      <protection hidden="1"/>
    </xf>
    <xf numFmtId="0" fontId="12" fillId="0" borderId="0" xfId="0" applyFont="1" applyAlignment="1" applyProtection="1">
      <protection hidden="1"/>
    </xf>
    <xf numFmtId="0" fontId="18" fillId="14" borderId="7" xfId="0" applyFont="1" applyFill="1" applyBorder="1" applyAlignment="1" applyProtection="1">
      <alignment horizontal="center" vertical="center"/>
      <protection hidden="1"/>
    </xf>
    <xf numFmtId="0" fontId="18" fillId="14" borderId="2" xfId="0" applyFont="1" applyFill="1" applyBorder="1" applyAlignment="1" applyProtection="1">
      <alignment horizontal="center" vertical="center"/>
      <protection hidden="1"/>
    </xf>
    <xf numFmtId="0" fontId="19" fillId="14" borderId="2" xfId="0" applyFont="1" applyFill="1" applyBorder="1" applyAlignment="1" applyProtection="1">
      <alignment vertical="center"/>
      <protection hidden="1"/>
    </xf>
    <xf numFmtId="0" fontId="0" fillId="0" borderId="8" xfId="0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Fill="1" applyBorder="1" applyAlignment="1" applyProtection="1"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protection hidden="1"/>
    </xf>
    <xf numFmtId="0" fontId="29" fillId="0" borderId="0" xfId="0" applyFont="1" applyAlignment="1" applyProtection="1">
      <alignment horizontal="center"/>
      <protection hidden="1"/>
    </xf>
    <xf numFmtId="0" fontId="0" fillId="0" borderId="0" xfId="0" applyFill="1" applyProtection="1">
      <protection hidden="1"/>
    </xf>
    <xf numFmtId="0" fontId="18" fillId="13" borderId="2" xfId="0" applyFont="1" applyFill="1" applyBorder="1" applyAlignment="1" applyProtection="1">
      <alignment horizontal="center" vertical="center"/>
      <protection hidden="1"/>
    </xf>
    <xf numFmtId="0" fontId="18" fillId="13" borderId="2" xfId="0" applyFont="1" applyFill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protection hidden="1"/>
    </xf>
    <xf numFmtId="0" fontId="31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17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15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17" fillId="0" borderId="0" xfId="0" applyFont="1" applyAlignment="1" applyProtection="1">
      <alignment horizontal="left"/>
      <protection hidden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3"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</dxf>
  </dxfs>
  <tableStyles count="0" defaultTableStyle="TableStyleMedium2" defaultPivotStyle="PivotStyleLight16"/>
  <colors>
    <mruColors>
      <color rgb="FF1E7E08"/>
      <color rgb="FF24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35</xdr:row>
      <xdr:rowOff>76201</xdr:rowOff>
    </xdr:from>
    <xdr:to>
      <xdr:col>8</xdr:col>
      <xdr:colOff>295275</xdr:colOff>
      <xdr:row>36</xdr:row>
      <xdr:rowOff>68203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1" y="9677401"/>
          <a:ext cx="4838699" cy="182502"/>
        </a:xfrm>
        <a:prstGeom prst="rect">
          <a:avLst/>
        </a:prstGeom>
      </xdr:spPr>
    </xdr:pic>
    <xdr:clientData/>
  </xdr:twoCellAnchor>
  <xdr:twoCellAnchor editAs="oneCell">
    <xdr:from>
      <xdr:col>4</xdr:col>
      <xdr:colOff>588432</xdr:colOff>
      <xdr:row>56</xdr:row>
      <xdr:rowOff>48447</xdr:rowOff>
    </xdr:from>
    <xdr:to>
      <xdr:col>5</xdr:col>
      <xdr:colOff>571499</xdr:colOff>
      <xdr:row>60</xdr:row>
      <xdr:rowOff>122767</xdr:rowOff>
    </xdr:to>
    <xdr:pic>
      <xdr:nvPicPr>
        <xdr:cNvPr id="26" name="Imagem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49" y="13700947"/>
          <a:ext cx="702733" cy="836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359834</xdr:colOff>
      <xdr:row>56</xdr:row>
      <xdr:rowOff>120002</xdr:rowOff>
    </xdr:from>
    <xdr:to>
      <xdr:col>4</xdr:col>
      <xdr:colOff>63500</xdr:colOff>
      <xdr:row>60</xdr:row>
      <xdr:rowOff>123826</xdr:rowOff>
    </xdr:to>
    <xdr:pic>
      <xdr:nvPicPr>
        <xdr:cNvPr id="27" name="Imagem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917" y="13772502"/>
          <a:ext cx="762000" cy="765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60326</xdr:colOff>
      <xdr:row>39</xdr:row>
      <xdr:rowOff>59827</xdr:rowOff>
    </xdr:from>
    <xdr:to>
      <xdr:col>5</xdr:col>
      <xdr:colOff>669925</xdr:colOff>
      <xdr:row>43</xdr:row>
      <xdr:rowOff>1915</xdr:rowOff>
    </xdr:to>
    <xdr:pic>
      <xdr:nvPicPr>
        <xdr:cNvPr id="29" name="Imagem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0701" y="10365877"/>
          <a:ext cx="609599" cy="704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520700</xdr:colOff>
      <xdr:row>38</xdr:row>
      <xdr:rowOff>92076</xdr:rowOff>
    </xdr:from>
    <xdr:to>
      <xdr:col>9</xdr:col>
      <xdr:colOff>269298</xdr:colOff>
      <xdr:row>42</xdr:row>
      <xdr:rowOff>160868</xdr:rowOff>
    </xdr:to>
    <xdr:pic>
      <xdr:nvPicPr>
        <xdr:cNvPr id="32" name="Imagem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1783" y="10315576"/>
          <a:ext cx="468265" cy="830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618068</xdr:colOff>
      <xdr:row>38</xdr:row>
      <xdr:rowOff>177782</xdr:rowOff>
    </xdr:from>
    <xdr:to>
      <xdr:col>7</xdr:col>
      <xdr:colOff>394759</xdr:colOff>
      <xdr:row>43</xdr:row>
      <xdr:rowOff>29633</xdr:rowOff>
    </xdr:to>
    <xdr:pic>
      <xdr:nvPicPr>
        <xdr:cNvPr id="35" name="Imagem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9818" y="10401282"/>
          <a:ext cx="496358" cy="80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339726</xdr:colOff>
      <xdr:row>55</xdr:row>
      <xdr:rowOff>136524</xdr:rowOff>
    </xdr:from>
    <xdr:to>
      <xdr:col>11</xdr:col>
      <xdr:colOff>351186</xdr:colOff>
      <xdr:row>60</xdr:row>
      <xdr:rowOff>88899</xdr:rowOff>
    </xdr:to>
    <xdr:pic>
      <xdr:nvPicPr>
        <xdr:cNvPr id="36" name="Imagem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0143" y="13598524"/>
          <a:ext cx="731126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402167</xdr:colOff>
      <xdr:row>57</xdr:row>
      <xdr:rowOff>2117</xdr:rowOff>
    </xdr:from>
    <xdr:to>
      <xdr:col>55</xdr:col>
      <xdr:colOff>315382</xdr:colOff>
      <xdr:row>60</xdr:row>
      <xdr:rowOff>128419</xdr:rowOff>
    </xdr:to>
    <xdr:pic>
      <xdr:nvPicPr>
        <xdr:cNvPr id="38" name="Imagem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1917" y="13845117"/>
          <a:ext cx="632882" cy="697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395816</xdr:colOff>
      <xdr:row>47</xdr:row>
      <xdr:rowOff>165100</xdr:rowOff>
    </xdr:from>
    <xdr:to>
      <xdr:col>4</xdr:col>
      <xdr:colOff>49742</xdr:colOff>
      <xdr:row>51</xdr:row>
      <xdr:rowOff>190314</xdr:rowOff>
    </xdr:to>
    <xdr:pic>
      <xdr:nvPicPr>
        <xdr:cNvPr id="39" name="Imagem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316" y="11995150"/>
          <a:ext cx="711201" cy="787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337610</xdr:colOff>
      <xdr:row>38</xdr:row>
      <xdr:rowOff>121708</xdr:rowOff>
    </xdr:from>
    <xdr:to>
      <xdr:col>11</xdr:col>
      <xdr:colOff>480484</xdr:colOff>
      <xdr:row>43</xdr:row>
      <xdr:rowOff>26457</xdr:rowOff>
    </xdr:to>
    <xdr:pic>
      <xdr:nvPicPr>
        <xdr:cNvPr id="41" name="Imagem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7" y="10345208"/>
          <a:ext cx="862540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591609</xdr:colOff>
      <xdr:row>38</xdr:row>
      <xdr:rowOff>131233</xdr:rowOff>
    </xdr:from>
    <xdr:to>
      <xdr:col>2</xdr:col>
      <xdr:colOff>363008</xdr:colOff>
      <xdr:row>42</xdr:row>
      <xdr:rowOff>140486</xdr:rowOff>
    </xdr:to>
    <xdr:pic>
      <xdr:nvPicPr>
        <xdr:cNvPr id="44" name="Imagem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609" y="10246783"/>
          <a:ext cx="495299" cy="7712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54</xdr:col>
      <xdr:colOff>600074</xdr:colOff>
      <xdr:row>0</xdr:row>
      <xdr:rowOff>269928</xdr:rowOff>
    </xdr:from>
    <xdr:to>
      <xdr:col>60</xdr:col>
      <xdr:colOff>57151</xdr:colOff>
      <xdr:row>1</xdr:row>
      <xdr:rowOff>409105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7674" y="269928"/>
          <a:ext cx="3105151" cy="405877"/>
        </a:xfrm>
        <a:prstGeom prst="rect">
          <a:avLst/>
        </a:prstGeom>
      </xdr:spPr>
    </xdr:pic>
    <xdr:clientData/>
  </xdr:twoCellAnchor>
  <xdr:twoCellAnchor editAs="oneCell">
    <xdr:from>
      <xdr:col>3</xdr:col>
      <xdr:colOff>553508</xdr:colOff>
      <xdr:row>39</xdr:row>
      <xdr:rowOff>77258</xdr:rowOff>
    </xdr:from>
    <xdr:to>
      <xdr:col>4</xdr:col>
      <xdr:colOff>85668</xdr:colOff>
      <xdr:row>42</xdr:row>
      <xdr:rowOff>172508</xdr:rowOff>
    </xdr:to>
    <xdr:pic>
      <xdr:nvPicPr>
        <xdr:cNvPr id="45" name="Imagem 44" descr="https://www.ogol.com.br/img/logos/equipas/38_imgbank.png">
          <a:extLst>
            <a:ext uri="{FF2B5EF4-FFF2-40B4-BE49-F238E27FC236}">
              <a16:creationId xmlns:a16="http://schemas.microsoft.com/office/drawing/2014/main" id="{5A2F2EC5-7A23-42D4-8F69-9BFA3D5E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7591" y="10491258"/>
          <a:ext cx="590494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202142</xdr:colOff>
      <xdr:row>38</xdr:row>
      <xdr:rowOff>187325</xdr:rowOff>
    </xdr:from>
    <xdr:to>
      <xdr:col>55</xdr:col>
      <xdr:colOff>194634</xdr:colOff>
      <xdr:row>42</xdr:row>
      <xdr:rowOff>149225</xdr:rowOff>
    </xdr:to>
    <xdr:pic>
      <xdr:nvPicPr>
        <xdr:cNvPr id="46" name="Imagem 45" descr="https://www.ogol.com.br/img/logos/equipas/82_imgbank.png">
          <a:extLst>
            <a:ext uri="{FF2B5EF4-FFF2-40B4-BE49-F238E27FC236}">
              <a16:creationId xmlns:a16="http://schemas.microsoft.com/office/drawing/2014/main" id="{2C98DF04-1C3E-4550-A348-B635BA83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1892" y="10410825"/>
          <a:ext cx="712159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104775</xdr:rowOff>
    </xdr:from>
    <xdr:to>
      <xdr:col>2</xdr:col>
      <xdr:colOff>489675</xdr:colOff>
      <xdr:row>51</xdr:row>
      <xdr:rowOff>142875</xdr:rowOff>
    </xdr:to>
    <xdr:pic>
      <xdr:nvPicPr>
        <xdr:cNvPr id="47" name="Imagem 46" descr="https://www.ogol.com.br/img/logos/equipas/134_imgbank.png">
          <a:extLst>
            <a:ext uri="{FF2B5EF4-FFF2-40B4-BE49-F238E27FC236}">
              <a16:creationId xmlns:a16="http://schemas.microsoft.com/office/drawing/2014/main" id="{8E06DE6D-5D00-4174-818B-3DC19B611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934825"/>
          <a:ext cx="603975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9525</xdr:rowOff>
    </xdr:from>
    <xdr:to>
      <xdr:col>5</xdr:col>
      <xdr:colOff>540976</xdr:colOff>
      <xdr:row>51</xdr:row>
      <xdr:rowOff>180974</xdr:rowOff>
    </xdr:to>
    <xdr:pic>
      <xdr:nvPicPr>
        <xdr:cNvPr id="48" name="Imagem 47" descr="https://www.ogol.com.br/img/logos/equipas/123_imgbank.png">
          <a:extLst>
            <a:ext uri="{FF2B5EF4-FFF2-40B4-BE49-F238E27FC236}">
              <a16:creationId xmlns:a16="http://schemas.microsoft.com/office/drawing/2014/main" id="{7FE9317D-850C-4586-AF4F-C60A7E036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11839575"/>
          <a:ext cx="540976" cy="93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285749</xdr:colOff>
      <xdr:row>48</xdr:row>
      <xdr:rowOff>96308</xdr:rowOff>
    </xdr:from>
    <xdr:to>
      <xdr:col>9</xdr:col>
      <xdr:colOff>417867</xdr:colOff>
      <xdr:row>51</xdr:row>
      <xdr:rowOff>105833</xdr:rowOff>
    </xdr:to>
    <xdr:pic>
      <xdr:nvPicPr>
        <xdr:cNvPr id="49" name="Imagem 48" descr="https://www.ogol.com.br/img/logos/equipas/147_imgbank.png">
          <a:extLst>
            <a:ext uri="{FF2B5EF4-FFF2-40B4-BE49-F238E27FC236}">
              <a16:creationId xmlns:a16="http://schemas.microsoft.com/office/drawing/2014/main" id="{491FC799-D498-46CB-946C-3AF784CF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6832" y="12224808"/>
          <a:ext cx="85178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69851</xdr:colOff>
      <xdr:row>47</xdr:row>
      <xdr:rowOff>142875</xdr:rowOff>
    </xdr:from>
    <xdr:to>
      <xdr:col>55</xdr:col>
      <xdr:colOff>298850</xdr:colOff>
      <xdr:row>51</xdr:row>
      <xdr:rowOff>152400</xdr:rowOff>
    </xdr:to>
    <xdr:pic>
      <xdr:nvPicPr>
        <xdr:cNvPr id="50" name="Imagem 49" descr="https://www.ogol.com.br/img/logos/equipas/49_imgbank.png">
          <a:extLst>
            <a:ext uri="{FF2B5EF4-FFF2-40B4-BE49-F238E27FC236}">
              <a16:creationId xmlns:a16="http://schemas.microsoft.com/office/drawing/2014/main" id="{8D2EA668-8FD8-4F0F-9A32-8C2946CA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1" y="12080875"/>
          <a:ext cx="948666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409575</xdr:colOff>
      <xdr:row>56</xdr:row>
      <xdr:rowOff>38100</xdr:rowOff>
    </xdr:from>
    <xdr:to>
      <xdr:col>2</xdr:col>
      <xdr:colOff>327042</xdr:colOff>
      <xdr:row>60</xdr:row>
      <xdr:rowOff>142875</xdr:rowOff>
    </xdr:to>
    <xdr:pic>
      <xdr:nvPicPr>
        <xdr:cNvPr id="51" name="Imagem 50" descr="https://www.ogol.com.br/img/logos/equipas/51_imgbank.png">
          <a:extLst>
            <a:ext uri="{FF2B5EF4-FFF2-40B4-BE49-F238E27FC236}">
              <a16:creationId xmlns:a16="http://schemas.microsoft.com/office/drawing/2014/main" id="{AF18BE40-F215-422B-98AC-F6BA41BE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13582650"/>
          <a:ext cx="641367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472017</xdr:colOff>
      <xdr:row>55</xdr:row>
      <xdr:rowOff>188384</xdr:rowOff>
    </xdr:from>
    <xdr:to>
      <xdr:col>7</xdr:col>
      <xdr:colOff>435204</xdr:colOff>
      <xdr:row>60</xdr:row>
      <xdr:rowOff>131234</xdr:rowOff>
    </xdr:to>
    <xdr:pic>
      <xdr:nvPicPr>
        <xdr:cNvPr id="52" name="Imagem 51" descr="https://www.ogol.com.br/img/logos/equipas/16_imgbank.png">
          <a:extLst>
            <a:ext uri="{FF2B5EF4-FFF2-40B4-BE49-F238E27FC236}">
              <a16:creationId xmlns:a16="http://schemas.microsoft.com/office/drawing/2014/main" id="{6B3680C9-FAF0-49D2-A0B6-82DAEBE5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3767" y="13650384"/>
          <a:ext cx="682854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421216</xdr:colOff>
      <xdr:row>56</xdr:row>
      <xdr:rowOff>170391</xdr:rowOff>
    </xdr:from>
    <xdr:to>
      <xdr:col>9</xdr:col>
      <xdr:colOff>315884</xdr:colOff>
      <xdr:row>60</xdr:row>
      <xdr:rowOff>141816</xdr:rowOff>
    </xdr:to>
    <xdr:pic>
      <xdr:nvPicPr>
        <xdr:cNvPr id="53" name="Imagem 52" descr="https://www.ogol.com.br/img/logos/equipas/73_imgbank.png">
          <a:extLst>
            <a:ext uri="{FF2B5EF4-FFF2-40B4-BE49-F238E27FC236}">
              <a16:creationId xmlns:a16="http://schemas.microsoft.com/office/drawing/2014/main" id="{98E9B2E6-0C46-4511-AABE-2BEE5B1A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2299" y="13822891"/>
          <a:ext cx="61433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445559</xdr:colOff>
      <xdr:row>47</xdr:row>
      <xdr:rowOff>84665</xdr:rowOff>
    </xdr:from>
    <xdr:to>
      <xdr:col>7</xdr:col>
      <xdr:colOff>385138</xdr:colOff>
      <xdr:row>51</xdr:row>
      <xdr:rowOff>151340</xdr:rowOff>
    </xdr:to>
    <xdr:pic>
      <xdr:nvPicPr>
        <xdr:cNvPr id="54" name="Imagem 53" descr="https://www.ogol.com.br/img/logos/equipas/122_imgbank.png">
          <a:extLst>
            <a:ext uri="{FF2B5EF4-FFF2-40B4-BE49-F238E27FC236}">
              <a16:creationId xmlns:a16="http://schemas.microsoft.com/office/drawing/2014/main" id="{E25ECD86-BB2A-44A5-9D50-3D163133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7309" y="12022665"/>
          <a:ext cx="659246" cy="828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656167</xdr:colOff>
      <xdr:row>48</xdr:row>
      <xdr:rowOff>8806</xdr:rowOff>
    </xdr:from>
    <xdr:to>
      <xdr:col>11</xdr:col>
      <xdr:colOff>599017</xdr:colOff>
      <xdr:row>51</xdr:row>
      <xdr:rowOff>147109</xdr:rowOff>
    </xdr:to>
    <xdr:pic>
      <xdr:nvPicPr>
        <xdr:cNvPr id="55" name="Imagem 54" descr="https://www.ogol.com.br/img/logos/equipas/32150_imgbank.png">
          <a:extLst>
            <a:ext uri="{FF2B5EF4-FFF2-40B4-BE49-F238E27FC236}">
              <a16:creationId xmlns:a16="http://schemas.microsoft.com/office/drawing/2014/main" id="{0E9C3991-61E2-4C75-8600-CE5FF7920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6917" y="12137306"/>
          <a:ext cx="1382183" cy="7098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51" t="s">
        <v>50</v>
      </c>
      <c r="C2" s="151"/>
      <c r="D2" s="151"/>
      <c r="E2" s="151"/>
      <c r="F2" s="151"/>
      <c r="G2" s="151"/>
      <c r="H2" s="151"/>
      <c r="I2" s="151"/>
      <c r="J2" s="151"/>
      <c r="K2" s="151"/>
      <c r="L2" s="4"/>
      <c r="M2" s="4"/>
      <c r="N2" s="4"/>
      <c r="O2" s="4"/>
      <c r="P2" s="152" t="s">
        <v>38</v>
      </c>
      <c r="Q2" s="152"/>
      <c r="R2" s="152"/>
      <c r="S2" s="152"/>
      <c r="T2" s="152"/>
      <c r="U2" s="152"/>
      <c r="V2" s="152"/>
      <c r="W2" s="152"/>
      <c r="X2" s="152"/>
      <c r="Y2" s="152"/>
      <c r="Z2" s="4"/>
      <c r="AA2" s="151" t="s">
        <v>39</v>
      </c>
      <c r="AB2" s="153"/>
      <c r="AC2" s="153"/>
      <c r="AD2" s="153"/>
      <c r="AE2" s="153"/>
      <c r="AF2" s="153"/>
      <c r="AG2" s="153"/>
      <c r="AH2" s="153"/>
      <c r="AI2" s="153"/>
      <c r="AJ2" s="153"/>
      <c r="AK2" s="4"/>
      <c r="AL2" s="151" t="s">
        <v>34</v>
      </c>
      <c r="AM2" s="153"/>
      <c r="AN2" s="153"/>
      <c r="AO2" s="153"/>
      <c r="AP2" s="153"/>
      <c r="AQ2" s="153"/>
      <c r="AR2" s="153"/>
      <c r="AS2" s="153"/>
      <c r="AT2" s="153"/>
      <c r="AU2" s="153"/>
      <c r="AV2" s="4"/>
      <c r="AW2" s="151" t="s">
        <v>35</v>
      </c>
      <c r="AX2" s="153"/>
      <c r="AY2" s="153"/>
      <c r="AZ2" s="153"/>
      <c r="BA2" s="153"/>
      <c r="BB2" s="153"/>
      <c r="BC2" s="153"/>
      <c r="BD2" s="153"/>
      <c r="BE2" s="153"/>
      <c r="BF2" s="17"/>
      <c r="BG2" s="4"/>
      <c r="BH2" s="4"/>
      <c r="BI2" s="151" t="s">
        <v>37</v>
      </c>
      <c r="BJ2" s="151"/>
      <c r="BK2" s="151"/>
      <c r="BL2" s="151"/>
      <c r="BM2" s="151"/>
      <c r="BN2" s="151"/>
      <c r="BO2" s="151"/>
      <c r="BP2" s="151"/>
      <c r="BQ2" s="151"/>
      <c r="BR2" s="151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e">
        <f>#REF!</f>
        <v>#REF!</v>
      </c>
      <c r="R6" s="11" t="e">
        <f>#REF!</f>
        <v>#REF!</v>
      </c>
      <c r="S6" s="11" t="e">
        <f>#REF!</f>
        <v>#REF!</v>
      </c>
      <c r="T6" s="11" t="e">
        <f>#REF!</f>
        <v>#REF!</v>
      </c>
      <c r="U6" s="11" t="e">
        <f>#REF!</f>
        <v>#REF!</v>
      </c>
      <c r="V6" s="11" t="e">
        <f>#REF!</f>
        <v>#REF!</v>
      </c>
      <c r="W6" s="11" t="e">
        <f>#REF!</f>
        <v>#REF!</v>
      </c>
      <c r="X6" s="11" t="e">
        <f>#REF!</f>
        <v>#REF!</v>
      </c>
      <c r="Y6" s="11" t="e">
        <f>#REF!</f>
        <v>#REF!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e">
        <f t="shared" ref="BZ6:BZ23" si="1">Q6</f>
        <v>#REF!</v>
      </c>
      <c r="CA6" s="11" t="e">
        <f>R6+AN6+AY6+BK6</f>
        <v>#REF!</v>
      </c>
      <c r="CB6" s="11" t="e">
        <f t="shared" ref="CB6:CB23" si="2">S6+AO6+AZ6+BL6</f>
        <v>#REF!</v>
      </c>
      <c r="CC6" s="11" t="e">
        <f t="shared" ref="CC6:CC23" si="3">T6+AP6+BA6+BM6</f>
        <v>#REF!</v>
      </c>
      <c r="CD6" s="11" t="e">
        <f t="shared" ref="CD6:CD23" si="4">U6+AQ6+BB6+BN6</f>
        <v>#REF!</v>
      </c>
      <c r="CE6" s="11" t="e">
        <f t="shared" ref="CE6:CE23" si="5">V6+AR6+BC6+BO6</f>
        <v>#REF!</v>
      </c>
      <c r="CF6" s="11" t="e">
        <f t="shared" ref="CF6:CF23" si="6">W6+AS6+BD6+BP6</f>
        <v>#REF!</v>
      </c>
      <c r="CG6" s="11" t="e">
        <f t="shared" ref="CG6:CG23" si="7">X6+AT6+BE6+BQ6</f>
        <v>#REF!</v>
      </c>
      <c r="CH6" s="11" t="e">
        <f t="shared" ref="CH6:CH23" si="8">Y6+AU6+BF6+BR6</f>
        <v>#REF!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9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10">VLOOKUP(CO7,$BY$6:$CH$23,2)</f>
        <v>#REF!</v>
      </c>
      <c r="D7" s="11" t="e">
        <f t="shared" ref="D7:D23" si="11">VLOOKUP(CO7,$BY$6:$CH$23,3)</f>
        <v>#REF!</v>
      </c>
      <c r="E7" s="11" t="e">
        <f t="shared" ref="E7:E23" si="12">VLOOKUP(CO7,$BY$6:$CH$23,4)</f>
        <v>#REF!</v>
      </c>
      <c r="F7" s="11" t="e">
        <f t="shared" ref="F7:F23" si="13">D7-E7-G7</f>
        <v>#REF!</v>
      </c>
      <c r="G7" s="11" t="e">
        <f t="shared" ref="G7:G23" si="14">VLOOKUP(CO7,$BY$6:$CH$23,6)</f>
        <v>#REF!</v>
      </c>
      <c r="H7" s="11" t="e">
        <f t="shared" ref="H7:H23" si="15">VLOOKUP(CO7,$BY$6:$CH$23,7)</f>
        <v>#REF!</v>
      </c>
      <c r="I7" s="11" t="e">
        <f t="shared" ref="I7:I23" si="16">VLOOKUP(CO7,$BY$6:$CH$23,8)</f>
        <v>#REF!</v>
      </c>
      <c r="J7" s="11" t="e">
        <f t="shared" ref="J7:J23" si="17">H7-I7</f>
        <v>#REF!</v>
      </c>
      <c r="K7" s="11" t="e">
        <f t="shared" ref="K7:K23" si="18">E7*3+F7</f>
        <v>#REF!</v>
      </c>
      <c r="L7" s="4"/>
      <c r="M7" s="4"/>
      <c r="N7" s="4"/>
      <c r="O7" s="4"/>
      <c r="P7" s="11" t="e">
        <f>#REF!</f>
        <v>#REF!</v>
      </c>
      <c r="Q7" s="11" t="e">
        <f>#REF!</f>
        <v>#REF!</v>
      </c>
      <c r="R7" s="11" t="e">
        <f>#REF!</f>
        <v>#REF!</v>
      </c>
      <c r="S7" s="11" t="e">
        <f>#REF!</f>
        <v>#REF!</v>
      </c>
      <c r="T7" s="11" t="e">
        <f>#REF!</f>
        <v>#REF!</v>
      </c>
      <c r="U7" s="11" t="e">
        <f>#REF!</f>
        <v>#REF!</v>
      </c>
      <c r="V7" s="11" t="e">
        <f>#REF!</f>
        <v>#REF!</v>
      </c>
      <c r="W7" s="11" t="e">
        <f>#REF!</f>
        <v>#REF!</v>
      </c>
      <c r="X7" s="11" t="e">
        <f>#REF!</f>
        <v>#REF!</v>
      </c>
      <c r="Y7" s="11" t="e">
        <f>#REF!</f>
        <v>#REF!</v>
      </c>
      <c r="Z7" s="5" t="e">
        <f t="shared" ref="Z7:Z23" si="19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20">IF(ISERROR(VLOOKUP(AL7,$AL$27:$AN$34,3,FALSE)),0,(VLOOKUP(AL7,$AL$27:$AN$34,3,FALSE)))</f>
        <v>0</v>
      </c>
      <c r="AO7" s="15">
        <f t="shared" ref="AO7:AO23" si="21">IF(ISERROR(VLOOKUP(AL7,$AL$27:$AO$34,4,FALSE)),0,(VLOOKUP(AL7,$AL$27:$AO$34,4,FALSE)))</f>
        <v>0</v>
      </c>
      <c r="AP7" s="15">
        <f t="shared" ref="AP7:AP23" si="22">AN7-AO7-AQ7</f>
        <v>0</v>
      </c>
      <c r="AQ7" s="15">
        <f t="shared" ref="AQ7:AQ23" si="23">IF(ISERROR(VLOOKUP(AL7,$AL$27:$AQ$34,6,FALSE)),0,(VLOOKUP(AL7,$AL$27:$AQ$34,6,FALSE)))</f>
        <v>0</v>
      </c>
      <c r="AR7" s="15">
        <f t="shared" ref="AR7:AR23" si="24">IF(ISERROR(VLOOKUP(AL7,$AL$27:$AR$34,7,FALSE)),0,(VLOOKUP(AL7,$AL$27:$AR$34,7,FALSE)))</f>
        <v>0</v>
      </c>
      <c r="AS7" s="15">
        <f t="shared" ref="AS7:AS23" si="25">IF(ISERROR(VLOOKUP(AL7,$AL$27:$AS$34,8,FALSE)),0,(VLOOKUP(AL7,$AL$27:$AS$34,8,FALSE)))</f>
        <v>0</v>
      </c>
      <c r="AT7" s="15">
        <f t="shared" ref="AT7:AT23" si="26">AR7-AS7</f>
        <v>0</v>
      </c>
      <c r="AU7" s="15">
        <f t="shared" ref="AU7:AU23" si="27">AO7*3+AP7</f>
        <v>0</v>
      </c>
      <c r="AV7" s="5"/>
      <c r="AW7" s="14">
        <v>2</v>
      </c>
      <c r="AX7" s="15">
        <f t="shared" ref="AX7:AX23" si="28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9">IF(ISERROR(VLOOKUP(AW7,$AW$26:$BF$29,4,FALSE)),0,(VLOOKUP(AW7,$AW$26:$BF$29,4,FALSE)))</f>
        <v>0</v>
      </c>
      <c r="BA7" s="15">
        <f t="shared" ref="BA7:BA23" si="30">AY7-AZ7-BB7</f>
        <v>0</v>
      </c>
      <c r="BB7" s="19">
        <f t="shared" ref="BB7:BB23" si="31">IF(ISERROR(VLOOKUP(AW7,$AW$26:$BF$29,6,FALSE)),0,(VLOOKUP(AW7,$AW$26:$BF$29,6,FALSE)))</f>
        <v>0</v>
      </c>
      <c r="BC7" s="19">
        <f t="shared" ref="BC7:BC23" si="32">IF(ISERROR(VLOOKUP(AW7,$AW$26:$BF$29,7,FALSE)),0,(VLOOKUP(AW7,$AW$26:$BF$29,7,FALSE)))</f>
        <v>0</v>
      </c>
      <c r="BD7" s="19">
        <f t="shared" ref="BD7:BD23" si="33">IF(ISERROR(VLOOKUP(AW7,$AW$26:$BF$29,8,FALSE)),0,(VLOOKUP(AW7,$AW$26:$BF$29,8,FALSE)))</f>
        <v>0</v>
      </c>
      <c r="BE7" s="15">
        <f t="shared" ref="BE7:BE23" si="34">BC7-BD7</f>
        <v>0</v>
      </c>
      <c r="BF7" s="15">
        <f t="shared" ref="BF7:BF23" si="35">AZ7*3+BA7</f>
        <v>0</v>
      </c>
      <c r="BG7" s="5"/>
      <c r="BH7" s="5"/>
      <c r="BI7" s="14">
        <v>2</v>
      </c>
      <c r="BJ7" s="15">
        <f t="shared" ref="BJ7:BJ23" si="36">IF(ISERROR(VLOOKUP(BI7,$BI$26:$BK$29,2,FALSE)),0,(VLOOKUP(BI7,$BI$26:$BK$29,2,FALSE)))</f>
        <v>0</v>
      </c>
      <c r="BK7" s="24">
        <f t="shared" ref="BK7:BK23" si="37">IF(ISERROR(VLOOKUP(BI7,$BI$26:$BR$27,3,FALSE)),0,(VLOOKUP(BI7,$BI$26:$BR$27,3,FALSE)))</f>
        <v>0</v>
      </c>
      <c r="BL7" s="19">
        <f t="shared" ref="BL7:BL23" si="38">IF(ISERROR(VLOOKUP(BI7,$BI$26:$BR$27,4,FALSE)),0,(VLOOKUP(BI7,$BI$26:$BR$27,4,FALSE)))</f>
        <v>0</v>
      </c>
      <c r="BM7" s="15">
        <f t="shared" ref="BM7:BM23" si="39">BK7-BL7-BN7</f>
        <v>0</v>
      </c>
      <c r="BN7" s="19">
        <f t="shared" ref="BN7:BN23" si="40">IF(ISERROR(VLOOKUP(BI7,$BI$26:$BR$27,6,FALSE)),0,(VLOOKUP(BI7,$BI$26:$BR$27,6,FALSE)))</f>
        <v>0</v>
      </c>
      <c r="BO7" s="19">
        <f t="shared" ref="BO7:BO23" si="41">IF(ISERROR(VLOOKUP(BI7,$BI$26:$BR$27,7,FALSE)),0,(VLOOKUP(BI7,$BI$26:$BR$27,7,FALSE)))</f>
        <v>0</v>
      </c>
      <c r="BP7" s="19">
        <f t="shared" ref="BP7:BP23" si="42">IF(ISERROR(VLOOKUP(BI7,$BI$26:$BR$27,8,FALSE)),0,(VLOOKUP(BI7,$BI$26:$BR$27,8,FALSE)))</f>
        <v>0</v>
      </c>
      <c r="BQ7" s="15">
        <f t="shared" ref="BQ7:BQ23" si="43">BO7-BP7</f>
        <v>0</v>
      </c>
      <c r="BR7" s="15">
        <f t="shared" ref="BR7:BR23" si="44">BL7*3+BM7</f>
        <v>0</v>
      </c>
      <c r="BS7" s="5"/>
      <c r="BT7" s="5"/>
      <c r="BU7" s="5"/>
      <c r="BV7" s="5"/>
      <c r="BW7" s="5"/>
      <c r="BX7" s="4"/>
      <c r="BY7" s="11" t="e">
        <f t="shared" ref="BY7:BY23" si="45">P7</f>
        <v>#REF!</v>
      </c>
      <c r="BZ7" s="11" t="e">
        <f t="shared" si="1"/>
        <v>#REF!</v>
      </c>
      <c r="CA7" s="11" t="e">
        <f t="shared" ref="CA7:CA23" si="46">R7+AN7+AY7+BK7</f>
        <v>#REF!</v>
      </c>
      <c r="CB7" s="11" t="e">
        <f t="shared" si="2"/>
        <v>#REF!</v>
      </c>
      <c r="CC7" s="11" t="e">
        <f t="shared" si="3"/>
        <v>#REF!</v>
      </c>
      <c r="CD7" s="11" t="e">
        <f t="shared" si="4"/>
        <v>#REF!</v>
      </c>
      <c r="CE7" s="11" t="e">
        <f t="shared" si="5"/>
        <v>#REF!</v>
      </c>
      <c r="CF7" s="11" t="e">
        <f t="shared" si="6"/>
        <v>#REF!</v>
      </c>
      <c r="CG7" s="11" t="e">
        <f t="shared" si="7"/>
        <v>#REF!</v>
      </c>
      <c r="CH7" s="11" t="e">
        <f t="shared" si="8"/>
        <v>#REF!</v>
      </c>
      <c r="CI7" s="5"/>
      <c r="CJ7" s="19" t="e">
        <f t="shared" ref="CJ7:CJ23" si="47">(10^10)*CH7+(10^8)*CB7+(10^6)*(50+CG7)+(10^4)*CE7+(10^2)*CA7+(13-BY7)</f>
        <v>#REF!</v>
      </c>
      <c r="CK7" s="21">
        <v>2</v>
      </c>
      <c r="CL7" s="5" t="e">
        <f t="shared" si="9"/>
        <v>#REF!</v>
      </c>
      <c r="CM7" s="4"/>
      <c r="CN7" s="21">
        <v>2</v>
      </c>
      <c r="CO7" s="5" t="e">
        <f t="shared" ref="CO7:CO23" si="48">MATCH(CL7,$CJ$6:$CJ$23,0)</f>
        <v>#REF!</v>
      </c>
    </row>
    <row r="8" spans="2:93" x14ac:dyDescent="0.25">
      <c r="B8" s="18" t="s">
        <v>12</v>
      </c>
      <c r="C8" s="18" t="e">
        <f t="shared" si="10"/>
        <v>#REF!</v>
      </c>
      <c r="D8" s="18" t="e">
        <f t="shared" si="11"/>
        <v>#REF!</v>
      </c>
      <c r="E8" s="18" t="e">
        <f t="shared" si="12"/>
        <v>#REF!</v>
      </c>
      <c r="F8" s="18" t="e">
        <f t="shared" si="13"/>
        <v>#REF!</v>
      </c>
      <c r="G8" s="18" t="e">
        <f t="shared" si="14"/>
        <v>#REF!</v>
      </c>
      <c r="H8" s="18" t="e">
        <f t="shared" si="15"/>
        <v>#REF!</v>
      </c>
      <c r="I8" s="18" t="e">
        <f t="shared" si="16"/>
        <v>#REF!</v>
      </c>
      <c r="J8" s="18" t="e">
        <f t="shared" si="17"/>
        <v>#REF!</v>
      </c>
      <c r="K8" s="18" t="e">
        <f t="shared" si="18"/>
        <v>#REF!</v>
      </c>
      <c r="L8" s="4"/>
      <c r="M8" s="4"/>
      <c r="N8" s="4"/>
      <c r="O8" s="4"/>
      <c r="P8" s="11" t="e">
        <f>#REF!</f>
        <v>#REF!</v>
      </c>
      <c r="Q8" s="11" t="e">
        <f>#REF!</f>
        <v>#REF!</v>
      </c>
      <c r="R8" s="11" t="e">
        <f>#REF!</f>
        <v>#REF!</v>
      </c>
      <c r="S8" s="11" t="e">
        <f>#REF!</f>
        <v>#REF!</v>
      </c>
      <c r="T8" s="11" t="e">
        <f>#REF!</f>
        <v>#REF!</v>
      </c>
      <c r="U8" s="11" t="e">
        <f>#REF!</f>
        <v>#REF!</v>
      </c>
      <c r="V8" s="11" t="e">
        <f>#REF!</f>
        <v>#REF!</v>
      </c>
      <c r="W8" s="11" t="e">
        <f>#REF!</f>
        <v>#REF!</v>
      </c>
      <c r="X8" s="11" t="e">
        <f>#REF!</f>
        <v>#REF!</v>
      </c>
      <c r="Y8" s="11" t="e">
        <f>#REF!</f>
        <v>#REF!</v>
      </c>
      <c r="Z8" s="5" t="e">
        <f t="shared" si="19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20"/>
        <v>0</v>
      </c>
      <c r="AO8" s="15">
        <f t="shared" si="21"/>
        <v>0</v>
      </c>
      <c r="AP8" s="15">
        <f t="shared" si="22"/>
        <v>0</v>
      </c>
      <c r="AQ8" s="15">
        <f t="shared" si="23"/>
        <v>0</v>
      </c>
      <c r="AR8" s="15">
        <f t="shared" si="24"/>
        <v>0</v>
      </c>
      <c r="AS8" s="15">
        <f t="shared" si="25"/>
        <v>0</v>
      </c>
      <c r="AT8" s="15">
        <f t="shared" si="26"/>
        <v>0</v>
      </c>
      <c r="AU8" s="15">
        <f t="shared" si="27"/>
        <v>0</v>
      </c>
      <c r="AV8" s="5"/>
      <c r="AW8" s="14">
        <v>3</v>
      </c>
      <c r="AX8" s="15">
        <f t="shared" si="28"/>
        <v>0</v>
      </c>
      <c r="AY8" s="19">
        <f t="shared" ref="AY8:AY23" si="49">IF(ISERROR(VLOOKUP(AW8,$AW$26:$BF$29,3,FALSE)),0,(VLOOKUP(AW8,$AW$26:$BF$29,3,FALSE)))</f>
        <v>0</v>
      </c>
      <c r="AZ8" s="19">
        <f t="shared" si="29"/>
        <v>0</v>
      </c>
      <c r="BA8" s="15">
        <f t="shared" si="30"/>
        <v>0</v>
      </c>
      <c r="BB8" s="19">
        <f t="shared" si="31"/>
        <v>0</v>
      </c>
      <c r="BC8" s="19">
        <f t="shared" si="32"/>
        <v>0</v>
      </c>
      <c r="BD8" s="19">
        <f t="shared" si="33"/>
        <v>0</v>
      </c>
      <c r="BE8" s="15">
        <f t="shared" si="34"/>
        <v>0</v>
      </c>
      <c r="BF8" s="15">
        <f t="shared" si="35"/>
        <v>0</v>
      </c>
      <c r="BG8" s="5"/>
      <c r="BH8" s="5"/>
      <c r="BI8" s="14">
        <v>3</v>
      </c>
      <c r="BJ8" s="15">
        <f t="shared" si="36"/>
        <v>0</v>
      </c>
      <c r="BK8" s="24">
        <f t="shared" si="37"/>
        <v>0</v>
      </c>
      <c r="BL8" s="19">
        <f t="shared" si="38"/>
        <v>0</v>
      </c>
      <c r="BM8" s="15">
        <f t="shared" si="39"/>
        <v>0</v>
      </c>
      <c r="BN8" s="19">
        <f t="shared" si="40"/>
        <v>0</v>
      </c>
      <c r="BO8" s="19">
        <f t="shared" si="41"/>
        <v>0</v>
      </c>
      <c r="BP8" s="19">
        <f t="shared" si="42"/>
        <v>0</v>
      </c>
      <c r="BQ8" s="15">
        <f t="shared" si="43"/>
        <v>0</v>
      </c>
      <c r="BR8" s="15">
        <f t="shared" si="44"/>
        <v>0</v>
      </c>
      <c r="BS8" s="5"/>
      <c r="BT8" s="5"/>
      <c r="BU8" s="5"/>
      <c r="BV8" s="5"/>
      <c r="BW8" s="5"/>
      <c r="BX8" s="4"/>
      <c r="BY8" s="11" t="e">
        <f t="shared" si="45"/>
        <v>#REF!</v>
      </c>
      <c r="BZ8" s="11" t="e">
        <f t="shared" si="1"/>
        <v>#REF!</v>
      </c>
      <c r="CA8" s="11" t="e">
        <f t="shared" si="46"/>
        <v>#REF!</v>
      </c>
      <c r="CB8" s="11" t="e">
        <f t="shared" si="2"/>
        <v>#REF!</v>
      </c>
      <c r="CC8" s="11" t="e">
        <f t="shared" si="3"/>
        <v>#REF!</v>
      </c>
      <c r="CD8" s="11" t="e">
        <f t="shared" si="4"/>
        <v>#REF!</v>
      </c>
      <c r="CE8" s="11" t="e">
        <f t="shared" si="5"/>
        <v>#REF!</v>
      </c>
      <c r="CF8" s="11" t="e">
        <f t="shared" si="6"/>
        <v>#REF!</v>
      </c>
      <c r="CG8" s="11" t="e">
        <f t="shared" si="7"/>
        <v>#REF!</v>
      </c>
      <c r="CH8" s="11" t="e">
        <f t="shared" si="8"/>
        <v>#REF!</v>
      </c>
      <c r="CI8" s="5"/>
      <c r="CJ8" s="19" t="e">
        <f t="shared" si="47"/>
        <v>#REF!</v>
      </c>
      <c r="CK8" s="21">
        <v>3</v>
      </c>
      <c r="CL8" s="5" t="e">
        <f t="shared" si="9"/>
        <v>#REF!</v>
      </c>
      <c r="CM8" s="4"/>
      <c r="CN8" s="21">
        <v>3</v>
      </c>
      <c r="CO8" s="5" t="e">
        <f t="shared" si="48"/>
        <v>#REF!</v>
      </c>
    </row>
    <row r="9" spans="2:93" x14ac:dyDescent="0.25">
      <c r="B9" s="11" t="s">
        <v>13</v>
      </c>
      <c r="C9" s="11" t="e">
        <f t="shared" si="10"/>
        <v>#REF!</v>
      </c>
      <c r="D9" s="11" t="e">
        <f t="shared" si="11"/>
        <v>#REF!</v>
      </c>
      <c r="E9" s="11" t="e">
        <f t="shared" si="12"/>
        <v>#REF!</v>
      </c>
      <c r="F9" s="11" t="e">
        <f t="shared" si="13"/>
        <v>#REF!</v>
      </c>
      <c r="G9" s="11" t="e">
        <f t="shared" si="14"/>
        <v>#REF!</v>
      </c>
      <c r="H9" s="11" t="e">
        <f t="shared" si="15"/>
        <v>#REF!</v>
      </c>
      <c r="I9" s="11" t="e">
        <f t="shared" si="16"/>
        <v>#REF!</v>
      </c>
      <c r="J9" s="11" t="e">
        <f t="shared" si="17"/>
        <v>#REF!</v>
      </c>
      <c r="K9" s="11" t="e">
        <f t="shared" si="18"/>
        <v>#REF!</v>
      </c>
      <c r="L9" s="4"/>
      <c r="M9" s="4"/>
      <c r="N9" s="4"/>
      <c r="O9" s="4"/>
      <c r="P9" s="11" t="e">
        <f>#REF!</f>
        <v>#REF!</v>
      </c>
      <c r="Q9" s="11" t="e">
        <f>#REF!</f>
        <v>#REF!</v>
      </c>
      <c r="R9" s="11" t="e">
        <f>#REF!</f>
        <v>#REF!</v>
      </c>
      <c r="S9" s="11" t="e">
        <f>#REF!</f>
        <v>#REF!</v>
      </c>
      <c r="T9" s="11" t="e">
        <f>#REF!</f>
        <v>#REF!</v>
      </c>
      <c r="U9" s="11" t="e">
        <f>#REF!</f>
        <v>#REF!</v>
      </c>
      <c r="V9" s="11" t="e">
        <f>#REF!</f>
        <v>#REF!</v>
      </c>
      <c r="W9" s="11" t="e">
        <f>#REF!</f>
        <v>#REF!</v>
      </c>
      <c r="X9" s="11" t="e">
        <f>#REF!</f>
        <v>#REF!</v>
      </c>
      <c r="Y9" s="11" t="e">
        <f>#REF!</f>
        <v>#REF!</v>
      </c>
      <c r="Z9" s="5" t="e">
        <f t="shared" si="19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20"/>
        <v>0</v>
      </c>
      <c r="AO9" s="15">
        <f t="shared" si="21"/>
        <v>0</v>
      </c>
      <c r="AP9" s="15">
        <f t="shared" si="22"/>
        <v>0</v>
      </c>
      <c r="AQ9" s="15">
        <f t="shared" si="23"/>
        <v>0</v>
      </c>
      <c r="AR9" s="15">
        <f t="shared" si="24"/>
        <v>0</v>
      </c>
      <c r="AS9" s="15">
        <f t="shared" si="25"/>
        <v>0</v>
      </c>
      <c r="AT9" s="15">
        <f t="shared" si="26"/>
        <v>0</v>
      </c>
      <c r="AU9" s="15">
        <f t="shared" si="27"/>
        <v>0</v>
      </c>
      <c r="AV9" s="5"/>
      <c r="AW9" s="14">
        <v>4</v>
      </c>
      <c r="AX9" s="15">
        <f t="shared" si="28"/>
        <v>0</v>
      </c>
      <c r="AY9" s="19">
        <f t="shared" si="49"/>
        <v>0</v>
      </c>
      <c r="AZ9" s="19">
        <f t="shared" si="29"/>
        <v>0</v>
      </c>
      <c r="BA9" s="15">
        <f t="shared" si="30"/>
        <v>0</v>
      </c>
      <c r="BB9" s="19">
        <f t="shared" si="31"/>
        <v>0</v>
      </c>
      <c r="BC9" s="19">
        <f t="shared" si="32"/>
        <v>0</v>
      </c>
      <c r="BD9" s="19">
        <f t="shared" si="33"/>
        <v>0</v>
      </c>
      <c r="BE9" s="15">
        <f t="shared" si="34"/>
        <v>0</v>
      </c>
      <c r="BF9" s="15">
        <f t="shared" si="35"/>
        <v>0</v>
      </c>
      <c r="BG9" s="5"/>
      <c r="BH9" s="5"/>
      <c r="BI9" s="14">
        <v>4</v>
      </c>
      <c r="BJ9" s="15">
        <f t="shared" si="36"/>
        <v>0</v>
      </c>
      <c r="BK9" s="24">
        <f t="shared" si="37"/>
        <v>0</v>
      </c>
      <c r="BL9" s="19">
        <f t="shared" si="38"/>
        <v>0</v>
      </c>
      <c r="BM9" s="15">
        <f t="shared" si="39"/>
        <v>0</v>
      </c>
      <c r="BN9" s="19">
        <f t="shared" si="40"/>
        <v>0</v>
      </c>
      <c r="BO9" s="19">
        <f t="shared" si="41"/>
        <v>0</v>
      </c>
      <c r="BP9" s="19">
        <f t="shared" si="42"/>
        <v>0</v>
      </c>
      <c r="BQ9" s="15">
        <f t="shared" si="43"/>
        <v>0</v>
      </c>
      <c r="BR9" s="15">
        <f t="shared" si="44"/>
        <v>0</v>
      </c>
      <c r="BS9" s="5"/>
      <c r="BT9" s="5"/>
      <c r="BU9" s="5"/>
      <c r="BV9" s="5"/>
      <c r="BW9" s="5"/>
      <c r="BX9" s="4"/>
      <c r="BY9" s="11" t="e">
        <f t="shared" si="45"/>
        <v>#REF!</v>
      </c>
      <c r="BZ9" s="11" t="e">
        <f t="shared" si="1"/>
        <v>#REF!</v>
      </c>
      <c r="CA9" s="11" t="e">
        <f t="shared" si="46"/>
        <v>#REF!</v>
      </c>
      <c r="CB9" s="11" t="e">
        <f t="shared" si="2"/>
        <v>#REF!</v>
      </c>
      <c r="CC9" s="11" t="e">
        <f t="shared" si="3"/>
        <v>#REF!</v>
      </c>
      <c r="CD9" s="11" t="e">
        <f t="shared" si="4"/>
        <v>#REF!</v>
      </c>
      <c r="CE9" s="11" t="e">
        <f t="shared" si="5"/>
        <v>#REF!</v>
      </c>
      <c r="CF9" s="11" t="e">
        <f t="shared" si="6"/>
        <v>#REF!</v>
      </c>
      <c r="CG9" s="11" t="e">
        <f t="shared" si="7"/>
        <v>#REF!</v>
      </c>
      <c r="CH9" s="11" t="e">
        <f t="shared" si="8"/>
        <v>#REF!</v>
      </c>
      <c r="CI9" s="5"/>
      <c r="CJ9" s="19" t="e">
        <f t="shared" si="47"/>
        <v>#REF!</v>
      </c>
      <c r="CK9" s="21">
        <v>4</v>
      </c>
      <c r="CL9" s="5" t="e">
        <f t="shared" si="9"/>
        <v>#REF!</v>
      </c>
      <c r="CM9" s="4"/>
      <c r="CN9" s="21">
        <v>4</v>
      </c>
      <c r="CO9" s="5" t="e">
        <f t="shared" si="48"/>
        <v>#REF!</v>
      </c>
    </row>
    <row r="10" spans="2:93" x14ac:dyDescent="0.25">
      <c r="B10" s="18" t="s">
        <v>14</v>
      </c>
      <c r="C10" s="18" t="e">
        <f t="shared" si="10"/>
        <v>#REF!</v>
      </c>
      <c r="D10" s="18" t="e">
        <f t="shared" si="11"/>
        <v>#REF!</v>
      </c>
      <c r="E10" s="18" t="e">
        <f t="shared" si="12"/>
        <v>#REF!</v>
      </c>
      <c r="F10" s="18" t="e">
        <f t="shared" si="13"/>
        <v>#REF!</v>
      </c>
      <c r="G10" s="18" t="e">
        <f t="shared" si="14"/>
        <v>#REF!</v>
      </c>
      <c r="H10" s="18" t="e">
        <f t="shared" si="15"/>
        <v>#REF!</v>
      </c>
      <c r="I10" s="18" t="e">
        <f t="shared" si="16"/>
        <v>#REF!</v>
      </c>
      <c r="J10" s="18" t="e">
        <f t="shared" si="17"/>
        <v>#REF!</v>
      </c>
      <c r="K10" s="18" t="e">
        <f t="shared" si="18"/>
        <v>#REF!</v>
      </c>
      <c r="L10" s="4"/>
      <c r="M10" s="4"/>
      <c r="N10" s="4"/>
      <c r="O10" s="4"/>
      <c r="P10" s="11" t="e">
        <f>#REF!</f>
        <v>#REF!</v>
      </c>
      <c r="Q10" s="11" t="e">
        <f>#REF!</f>
        <v>#REF!</v>
      </c>
      <c r="R10" s="11" t="e">
        <f>#REF!</f>
        <v>#REF!</v>
      </c>
      <c r="S10" s="11" t="e">
        <f>#REF!</f>
        <v>#REF!</v>
      </c>
      <c r="T10" s="11" t="e">
        <f>#REF!</f>
        <v>#REF!</v>
      </c>
      <c r="U10" s="11" t="e">
        <f>#REF!</f>
        <v>#REF!</v>
      </c>
      <c r="V10" s="11" t="e">
        <f>#REF!</f>
        <v>#REF!</v>
      </c>
      <c r="W10" s="11" t="e">
        <f>#REF!</f>
        <v>#REF!</v>
      </c>
      <c r="X10" s="11" t="e">
        <f>#REF!</f>
        <v>#REF!</v>
      </c>
      <c r="Y10" s="11" t="e">
        <f>#REF!</f>
        <v>#REF!</v>
      </c>
      <c r="Z10" s="5" t="e">
        <f t="shared" si="19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20"/>
        <v>0</v>
      </c>
      <c r="AO10" s="15">
        <f t="shared" si="21"/>
        <v>0</v>
      </c>
      <c r="AP10" s="15">
        <f t="shared" si="22"/>
        <v>0</v>
      </c>
      <c r="AQ10" s="15">
        <f t="shared" si="23"/>
        <v>0</v>
      </c>
      <c r="AR10" s="15">
        <f t="shared" si="24"/>
        <v>0</v>
      </c>
      <c r="AS10" s="15">
        <f t="shared" si="25"/>
        <v>0</v>
      </c>
      <c r="AT10" s="15">
        <f t="shared" si="26"/>
        <v>0</v>
      </c>
      <c r="AU10" s="15">
        <f t="shared" si="27"/>
        <v>0</v>
      </c>
      <c r="AV10" s="5"/>
      <c r="AW10" s="14">
        <v>5</v>
      </c>
      <c r="AX10" s="15">
        <f t="shared" si="28"/>
        <v>0</v>
      </c>
      <c r="AY10" s="19">
        <f t="shared" si="49"/>
        <v>0</v>
      </c>
      <c r="AZ10" s="19">
        <f t="shared" si="29"/>
        <v>0</v>
      </c>
      <c r="BA10" s="15">
        <f t="shared" si="30"/>
        <v>0</v>
      </c>
      <c r="BB10" s="19">
        <f t="shared" si="31"/>
        <v>0</v>
      </c>
      <c r="BC10" s="19">
        <f t="shared" si="32"/>
        <v>0</v>
      </c>
      <c r="BD10" s="19">
        <f t="shared" si="33"/>
        <v>0</v>
      </c>
      <c r="BE10" s="15">
        <f t="shared" si="34"/>
        <v>0</v>
      </c>
      <c r="BF10" s="15">
        <f t="shared" si="35"/>
        <v>0</v>
      </c>
      <c r="BG10" s="5"/>
      <c r="BH10" s="5"/>
      <c r="BI10" s="14">
        <v>5</v>
      </c>
      <c r="BJ10" s="15">
        <f t="shared" si="36"/>
        <v>0</v>
      </c>
      <c r="BK10" s="24">
        <f t="shared" si="37"/>
        <v>0</v>
      </c>
      <c r="BL10" s="19">
        <f t="shared" si="38"/>
        <v>0</v>
      </c>
      <c r="BM10" s="15">
        <f t="shared" si="39"/>
        <v>0</v>
      </c>
      <c r="BN10" s="19">
        <f t="shared" si="40"/>
        <v>0</v>
      </c>
      <c r="BO10" s="19">
        <f t="shared" si="41"/>
        <v>0</v>
      </c>
      <c r="BP10" s="19">
        <f t="shared" si="42"/>
        <v>0</v>
      </c>
      <c r="BQ10" s="15">
        <f t="shared" si="43"/>
        <v>0</v>
      </c>
      <c r="BR10" s="15">
        <f t="shared" si="44"/>
        <v>0</v>
      </c>
      <c r="BS10" s="5"/>
      <c r="BT10" s="5"/>
      <c r="BU10" s="5"/>
      <c r="BV10" s="5"/>
      <c r="BW10" s="5"/>
      <c r="BX10" s="4"/>
      <c r="BY10" s="11" t="e">
        <f t="shared" si="45"/>
        <v>#REF!</v>
      </c>
      <c r="BZ10" s="11" t="e">
        <f t="shared" si="1"/>
        <v>#REF!</v>
      </c>
      <c r="CA10" s="11" t="e">
        <f t="shared" si="46"/>
        <v>#REF!</v>
      </c>
      <c r="CB10" s="11" t="e">
        <f t="shared" si="2"/>
        <v>#REF!</v>
      </c>
      <c r="CC10" s="11" t="e">
        <f t="shared" si="3"/>
        <v>#REF!</v>
      </c>
      <c r="CD10" s="11" t="e">
        <f t="shared" si="4"/>
        <v>#REF!</v>
      </c>
      <c r="CE10" s="11" t="e">
        <f t="shared" si="5"/>
        <v>#REF!</v>
      </c>
      <c r="CF10" s="11" t="e">
        <f t="shared" si="6"/>
        <v>#REF!</v>
      </c>
      <c r="CG10" s="11" t="e">
        <f t="shared" si="7"/>
        <v>#REF!</v>
      </c>
      <c r="CH10" s="11" t="e">
        <f t="shared" si="8"/>
        <v>#REF!</v>
      </c>
      <c r="CI10" s="5"/>
      <c r="CJ10" s="19" t="e">
        <f t="shared" si="47"/>
        <v>#REF!</v>
      </c>
      <c r="CK10" s="21">
        <v>5</v>
      </c>
      <c r="CL10" s="5" t="e">
        <f t="shared" si="9"/>
        <v>#REF!</v>
      </c>
      <c r="CM10" s="4"/>
      <c r="CN10" s="21">
        <v>5</v>
      </c>
      <c r="CO10" s="5" t="e">
        <f t="shared" si="48"/>
        <v>#REF!</v>
      </c>
    </row>
    <row r="11" spans="2:93" x14ac:dyDescent="0.25">
      <c r="B11" s="11" t="s">
        <v>15</v>
      </c>
      <c r="C11" s="11" t="e">
        <f t="shared" si="10"/>
        <v>#REF!</v>
      </c>
      <c r="D11" s="11" t="e">
        <f t="shared" si="11"/>
        <v>#REF!</v>
      </c>
      <c r="E11" s="11" t="e">
        <f t="shared" si="12"/>
        <v>#REF!</v>
      </c>
      <c r="F11" s="11" t="e">
        <f t="shared" si="13"/>
        <v>#REF!</v>
      </c>
      <c r="G11" s="11" t="e">
        <f t="shared" si="14"/>
        <v>#REF!</v>
      </c>
      <c r="H11" s="11" t="e">
        <f t="shared" si="15"/>
        <v>#REF!</v>
      </c>
      <c r="I11" s="11" t="e">
        <f t="shared" si="16"/>
        <v>#REF!</v>
      </c>
      <c r="J11" s="11" t="e">
        <f t="shared" si="17"/>
        <v>#REF!</v>
      </c>
      <c r="K11" s="11" t="e">
        <f t="shared" si="18"/>
        <v>#REF!</v>
      </c>
      <c r="L11" s="4"/>
      <c r="M11" s="4"/>
      <c r="N11" s="4"/>
      <c r="O11" s="4"/>
      <c r="P11" s="11" t="e">
        <f>#REF!</f>
        <v>#REF!</v>
      </c>
      <c r="Q11" s="11" t="e">
        <f>#REF!</f>
        <v>#REF!</v>
      </c>
      <c r="R11" s="11" t="e">
        <f>#REF!</f>
        <v>#REF!</v>
      </c>
      <c r="S11" s="11" t="e">
        <f>#REF!</f>
        <v>#REF!</v>
      </c>
      <c r="T11" s="11" t="e">
        <f>#REF!</f>
        <v>#REF!</v>
      </c>
      <c r="U11" s="11" t="e">
        <f>#REF!</f>
        <v>#REF!</v>
      </c>
      <c r="V11" s="11" t="e">
        <f>#REF!</f>
        <v>#REF!</v>
      </c>
      <c r="W11" s="11" t="e">
        <f>#REF!</f>
        <v>#REF!</v>
      </c>
      <c r="X11" s="11" t="e">
        <f>#REF!</f>
        <v>#REF!</v>
      </c>
      <c r="Y11" s="11" t="e">
        <f>#REF!</f>
        <v>#REF!</v>
      </c>
      <c r="Z11" s="5" t="e">
        <f t="shared" si="19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20"/>
        <v>0</v>
      </c>
      <c r="AO11" s="15">
        <f t="shared" si="21"/>
        <v>0</v>
      </c>
      <c r="AP11" s="15">
        <f t="shared" si="22"/>
        <v>0</v>
      </c>
      <c r="AQ11" s="15">
        <f t="shared" si="23"/>
        <v>0</v>
      </c>
      <c r="AR11" s="15">
        <f t="shared" si="24"/>
        <v>0</v>
      </c>
      <c r="AS11" s="15">
        <f t="shared" si="25"/>
        <v>0</v>
      </c>
      <c r="AT11" s="15">
        <f t="shared" si="26"/>
        <v>0</v>
      </c>
      <c r="AU11" s="15">
        <f t="shared" si="27"/>
        <v>0</v>
      </c>
      <c r="AV11" s="5"/>
      <c r="AW11" s="14">
        <v>6</v>
      </c>
      <c r="AX11" s="15">
        <f t="shared" si="28"/>
        <v>0</v>
      </c>
      <c r="AY11" s="19">
        <f t="shared" si="49"/>
        <v>0</v>
      </c>
      <c r="AZ11" s="19">
        <f t="shared" si="29"/>
        <v>0</v>
      </c>
      <c r="BA11" s="15">
        <f t="shared" si="30"/>
        <v>0</v>
      </c>
      <c r="BB11" s="19">
        <f t="shared" si="31"/>
        <v>0</v>
      </c>
      <c r="BC11" s="19">
        <f t="shared" si="32"/>
        <v>0</v>
      </c>
      <c r="BD11" s="19">
        <f t="shared" si="33"/>
        <v>0</v>
      </c>
      <c r="BE11" s="15">
        <f t="shared" si="34"/>
        <v>0</v>
      </c>
      <c r="BF11" s="15">
        <f t="shared" si="35"/>
        <v>0</v>
      </c>
      <c r="BG11" s="5"/>
      <c r="BH11" s="5"/>
      <c r="BI11" s="14">
        <v>6</v>
      </c>
      <c r="BJ11" s="15">
        <f t="shared" si="36"/>
        <v>0</v>
      </c>
      <c r="BK11" s="24">
        <f t="shared" si="37"/>
        <v>0</v>
      </c>
      <c r="BL11" s="19">
        <f t="shared" si="38"/>
        <v>0</v>
      </c>
      <c r="BM11" s="15">
        <f t="shared" si="39"/>
        <v>0</v>
      </c>
      <c r="BN11" s="19">
        <f t="shared" si="40"/>
        <v>0</v>
      </c>
      <c r="BO11" s="19">
        <f t="shared" si="41"/>
        <v>0</v>
      </c>
      <c r="BP11" s="19">
        <f t="shared" si="42"/>
        <v>0</v>
      </c>
      <c r="BQ11" s="15">
        <f t="shared" si="43"/>
        <v>0</v>
      </c>
      <c r="BR11" s="15">
        <f t="shared" si="44"/>
        <v>0</v>
      </c>
      <c r="BS11" s="5"/>
      <c r="BT11" s="5"/>
      <c r="BU11" s="5"/>
      <c r="BV11" s="5"/>
      <c r="BW11" s="5"/>
      <c r="BX11" s="4"/>
      <c r="BY11" s="11" t="e">
        <f t="shared" si="45"/>
        <v>#REF!</v>
      </c>
      <c r="BZ11" s="11" t="e">
        <f t="shared" si="1"/>
        <v>#REF!</v>
      </c>
      <c r="CA11" s="11" t="e">
        <f t="shared" si="46"/>
        <v>#REF!</v>
      </c>
      <c r="CB11" s="11" t="e">
        <f t="shared" si="2"/>
        <v>#REF!</v>
      </c>
      <c r="CC11" s="11" t="e">
        <f t="shared" si="3"/>
        <v>#REF!</v>
      </c>
      <c r="CD11" s="11" t="e">
        <f t="shared" si="4"/>
        <v>#REF!</v>
      </c>
      <c r="CE11" s="11" t="e">
        <f t="shared" si="5"/>
        <v>#REF!</v>
      </c>
      <c r="CF11" s="11" t="e">
        <f t="shared" si="6"/>
        <v>#REF!</v>
      </c>
      <c r="CG11" s="11" t="e">
        <f t="shared" si="7"/>
        <v>#REF!</v>
      </c>
      <c r="CH11" s="11" t="e">
        <f t="shared" si="8"/>
        <v>#REF!</v>
      </c>
      <c r="CI11" s="5"/>
      <c r="CJ11" s="19" t="e">
        <f t="shared" si="47"/>
        <v>#REF!</v>
      </c>
      <c r="CK11" s="21">
        <v>6</v>
      </c>
      <c r="CL11" s="5" t="e">
        <f t="shared" si="9"/>
        <v>#REF!</v>
      </c>
      <c r="CM11" s="4"/>
      <c r="CN11" s="21">
        <v>6</v>
      </c>
      <c r="CO11" s="5" t="e">
        <f t="shared" si="48"/>
        <v>#REF!</v>
      </c>
    </row>
    <row r="12" spans="2:93" x14ac:dyDescent="0.25">
      <c r="B12" s="18" t="s">
        <v>16</v>
      </c>
      <c r="C12" s="18" t="e">
        <f t="shared" si="10"/>
        <v>#REF!</v>
      </c>
      <c r="D12" s="18" t="e">
        <f t="shared" si="11"/>
        <v>#REF!</v>
      </c>
      <c r="E12" s="18" t="e">
        <f t="shared" si="12"/>
        <v>#REF!</v>
      </c>
      <c r="F12" s="18" t="e">
        <f t="shared" si="13"/>
        <v>#REF!</v>
      </c>
      <c r="G12" s="18" t="e">
        <f t="shared" si="14"/>
        <v>#REF!</v>
      </c>
      <c r="H12" s="18" t="e">
        <f t="shared" si="15"/>
        <v>#REF!</v>
      </c>
      <c r="I12" s="18" t="e">
        <f t="shared" si="16"/>
        <v>#REF!</v>
      </c>
      <c r="J12" s="18" t="e">
        <f t="shared" si="17"/>
        <v>#REF!</v>
      </c>
      <c r="K12" s="18" t="e">
        <f t="shared" si="18"/>
        <v>#REF!</v>
      </c>
      <c r="L12" s="4"/>
      <c r="M12" s="4"/>
      <c r="N12" s="4"/>
      <c r="O12" s="4"/>
      <c r="P12" s="11" t="e">
        <f>#REF!</f>
        <v>#REF!</v>
      </c>
      <c r="Q12" s="11" t="e">
        <f>#REF!</f>
        <v>#REF!</v>
      </c>
      <c r="R12" s="11" t="e">
        <f>#REF!</f>
        <v>#REF!</v>
      </c>
      <c r="S12" s="11" t="e">
        <f>#REF!</f>
        <v>#REF!</v>
      </c>
      <c r="T12" s="11" t="e">
        <f>#REF!</f>
        <v>#REF!</v>
      </c>
      <c r="U12" s="11" t="e">
        <f>#REF!</f>
        <v>#REF!</v>
      </c>
      <c r="V12" s="11" t="e">
        <f>#REF!</f>
        <v>#REF!</v>
      </c>
      <c r="W12" s="11" t="e">
        <f>#REF!</f>
        <v>#REF!</v>
      </c>
      <c r="X12" s="11" t="e">
        <f>#REF!</f>
        <v>#REF!</v>
      </c>
      <c r="Y12" s="11" t="e">
        <f>#REF!</f>
        <v>#REF!</v>
      </c>
      <c r="Z12" s="5" t="e">
        <f t="shared" si="19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20"/>
        <v>0</v>
      </c>
      <c r="AO12" s="15">
        <f t="shared" si="21"/>
        <v>0</v>
      </c>
      <c r="AP12" s="15">
        <f t="shared" si="22"/>
        <v>0</v>
      </c>
      <c r="AQ12" s="15">
        <f t="shared" si="23"/>
        <v>0</v>
      </c>
      <c r="AR12" s="15">
        <f t="shared" si="24"/>
        <v>0</v>
      </c>
      <c r="AS12" s="15">
        <f t="shared" si="25"/>
        <v>0</v>
      </c>
      <c r="AT12" s="15">
        <f t="shared" si="26"/>
        <v>0</v>
      </c>
      <c r="AU12" s="15">
        <f t="shared" si="27"/>
        <v>0</v>
      </c>
      <c r="AV12" s="5"/>
      <c r="AW12" s="14">
        <v>7</v>
      </c>
      <c r="AX12" s="15">
        <f t="shared" si="28"/>
        <v>0</v>
      </c>
      <c r="AY12" s="19">
        <f t="shared" si="49"/>
        <v>0</v>
      </c>
      <c r="AZ12" s="19">
        <f t="shared" si="29"/>
        <v>0</v>
      </c>
      <c r="BA12" s="15">
        <f t="shared" si="30"/>
        <v>0</v>
      </c>
      <c r="BB12" s="19">
        <f t="shared" si="31"/>
        <v>0</v>
      </c>
      <c r="BC12" s="19">
        <f t="shared" si="32"/>
        <v>0</v>
      </c>
      <c r="BD12" s="19">
        <f t="shared" si="33"/>
        <v>0</v>
      </c>
      <c r="BE12" s="15">
        <f t="shared" si="34"/>
        <v>0</v>
      </c>
      <c r="BF12" s="15">
        <f t="shared" si="35"/>
        <v>0</v>
      </c>
      <c r="BG12" s="5"/>
      <c r="BH12" s="5"/>
      <c r="BI12" s="14">
        <v>7</v>
      </c>
      <c r="BJ12" s="15">
        <f t="shared" si="36"/>
        <v>0</v>
      </c>
      <c r="BK12" s="24">
        <f t="shared" si="37"/>
        <v>0</v>
      </c>
      <c r="BL12" s="19">
        <f t="shared" si="38"/>
        <v>0</v>
      </c>
      <c r="BM12" s="15">
        <f t="shared" si="39"/>
        <v>0</v>
      </c>
      <c r="BN12" s="19">
        <f t="shared" si="40"/>
        <v>0</v>
      </c>
      <c r="BO12" s="19">
        <f t="shared" si="41"/>
        <v>0</v>
      </c>
      <c r="BP12" s="19">
        <f t="shared" si="42"/>
        <v>0</v>
      </c>
      <c r="BQ12" s="15">
        <f t="shared" si="43"/>
        <v>0</v>
      </c>
      <c r="BR12" s="15">
        <f t="shared" si="44"/>
        <v>0</v>
      </c>
      <c r="BS12" s="5"/>
      <c r="BT12" s="5"/>
      <c r="BU12" s="5"/>
      <c r="BV12" s="5"/>
      <c r="BW12" s="5"/>
      <c r="BX12" s="4"/>
      <c r="BY12" s="11" t="e">
        <f t="shared" si="45"/>
        <v>#REF!</v>
      </c>
      <c r="BZ12" s="11" t="e">
        <f t="shared" si="1"/>
        <v>#REF!</v>
      </c>
      <c r="CA12" s="11" t="e">
        <f t="shared" si="46"/>
        <v>#REF!</v>
      </c>
      <c r="CB12" s="11" t="e">
        <f t="shared" si="2"/>
        <v>#REF!</v>
      </c>
      <c r="CC12" s="11" t="e">
        <f t="shared" si="3"/>
        <v>#REF!</v>
      </c>
      <c r="CD12" s="11" t="e">
        <f t="shared" si="4"/>
        <v>#REF!</v>
      </c>
      <c r="CE12" s="11" t="e">
        <f t="shared" si="5"/>
        <v>#REF!</v>
      </c>
      <c r="CF12" s="11" t="e">
        <f t="shared" si="6"/>
        <v>#REF!</v>
      </c>
      <c r="CG12" s="11" t="e">
        <f t="shared" si="7"/>
        <v>#REF!</v>
      </c>
      <c r="CH12" s="11" t="e">
        <f t="shared" si="8"/>
        <v>#REF!</v>
      </c>
      <c r="CI12" s="5"/>
      <c r="CJ12" s="19" t="e">
        <f t="shared" si="47"/>
        <v>#REF!</v>
      </c>
      <c r="CK12" s="21">
        <v>7</v>
      </c>
      <c r="CL12" s="5" t="e">
        <f t="shared" si="9"/>
        <v>#REF!</v>
      </c>
      <c r="CM12" s="4"/>
      <c r="CN12" s="21">
        <v>7</v>
      </c>
      <c r="CO12" s="5" t="e">
        <f t="shared" si="48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11"/>
        <v>#REF!</v>
      </c>
      <c r="E13" s="11" t="e">
        <f t="shared" si="12"/>
        <v>#REF!</v>
      </c>
      <c r="F13" s="11" t="e">
        <f t="shared" si="13"/>
        <v>#REF!</v>
      </c>
      <c r="G13" s="11" t="e">
        <f t="shared" si="14"/>
        <v>#REF!</v>
      </c>
      <c r="H13" s="11" t="e">
        <f t="shared" si="15"/>
        <v>#REF!</v>
      </c>
      <c r="I13" s="11" t="e">
        <f t="shared" si="16"/>
        <v>#REF!</v>
      </c>
      <c r="J13" s="11" t="e">
        <f t="shared" si="17"/>
        <v>#REF!</v>
      </c>
      <c r="K13" s="11" t="e">
        <f t="shared" si="18"/>
        <v>#REF!</v>
      </c>
      <c r="L13" s="4"/>
      <c r="M13" s="4"/>
      <c r="N13" s="4"/>
      <c r="O13" s="4"/>
      <c r="P13" s="11" t="e">
        <f>#REF!</f>
        <v>#REF!</v>
      </c>
      <c r="Q13" s="11" t="e">
        <f>#REF!</f>
        <v>#REF!</v>
      </c>
      <c r="R13" s="11" t="e">
        <f>#REF!</f>
        <v>#REF!</v>
      </c>
      <c r="S13" s="11" t="e">
        <f>#REF!</f>
        <v>#REF!</v>
      </c>
      <c r="T13" s="11" t="e">
        <f>#REF!</f>
        <v>#REF!</v>
      </c>
      <c r="U13" s="11" t="e">
        <f>#REF!</f>
        <v>#REF!</v>
      </c>
      <c r="V13" s="11" t="e">
        <f>#REF!</f>
        <v>#REF!</v>
      </c>
      <c r="W13" s="11" t="e">
        <f>#REF!</f>
        <v>#REF!</v>
      </c>
      <c r="X13" s="11" t="e">
        <f>#REF!</f>
        <v>#REF!</v>
      </c>
      <c r="Y13" s="11" t="e">
        <f>#REF!</f>
        <v>#REF!</v>
      </c>
      <c r="Z13" s="5" t="e">
        <f t="shared" si="19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20"/>
        <v>0</v>
      </c>
      <c r="AO13" s="15">
        <f t="shared" si="21"/>
        <v>0</v>
      </c>
      <c r="AP13" s="15">
        <f t="shared" si="22"/>
        <v>0</v>
      </c>
      <c r="AQ13" s="15">
        <f t="shared" si="23"/>
        <v>0</v>
      </c>
      <c r="AR13" s="15">
        <f t="shared" si="24"/>
        <v>0</v>
      </c>
      <c r="AS13" s="15">
        <f t="shared" si="25"/>
        <v>0</v>
      </c>
      <c r="AT13" s="15">
        <f t="shared" si="26"/>
        <v>0</v>
      </c>
      <c r="AU13" s="15">
        <f t="shared" si="27"/>
        <v>0</v>
      </c>
      <c r="AV13" s="5"/>
      <c r="AW13" s="14">
        <v>8</v>
      </c>
      <c r="AX13" s="15">
        <f t="shared" si="28"/>
        <v>0</v>
      </c>
      <c r="AY13" s="19">
        <f t="shared" si="49"/>
        <v>0</v>
      </c>
      <c r="AZ13" s="19">
        <f t="shared" si="29"/>
        <v>0</v>
      </c>
      <c r="BA13" s="15">
        <f t="shared" si="30"/>
        <v>0</v>
      </c>
      <c r="BB13" s="19">
        <f t="shared" si="31"/>
        <v>0</v>
      </c>
      <c r="BC13" s="19">
        <f t="shared" si="32"/>
        <v>0</v>
      </c>
      <c r="BD13" s="19">
        <f t="shared" si="33"/>
        <v>0</v>
      </c>
      <c r="BE13" s="15">
        <f t="shared" si="34"/>
        <v>0</v>
      </c>
      <c r="BF13" s="15">
        <f t="shared" si="35"/>
        <v>0</v>
      </c>
      <c r="BG13" s="5"/>
      <c r="BH13" s="5"/>
      <c r="BI13" s="14">
        <v>8</v>
      </c>
      <c r="BJ13" s="15">
        <f t="shared" si="36"/>
        <v>0</v>
      </c>
      <c r="BK13" s="24">
        <f t="shared" si="37"/>
        <v>0</v>
      </c>
      <c r="BL13" s="19">
        <f t="shared" si="38"/>
        <v>0</v>
      </c>
      <c r="BM13" s="15">
        <f t="shared" si="39"/>
        <v>0</v>
      </c>
      <c r="BN13" s="19">
        <f t="shared" si="40"/>
        <v>0</v>
      </c>
      <c r="BO13" s="19">
        <f t="shared" si="41"/>
        <v>0</v>
      </c>
      <c r="BP13" s="19">
        <f t="shared" si="42"/>
        <v>0</v>
      </c>
      <c r="BQ13" s="15">
        <f t="shared" si="43"/>
        <v>0</v>
      </c>
      <c r="BR13" s="15">
        <f t="shared" si="44"/>
        <v>0</v>
      </c>
      <c r="BS13" s="5"/>
      <c r="BT13" s="5"/>
      <c r="BU13" s="5"/>
      <c r="BV13" s="5"/>
      <c r="BW13" s="5"/>
      <c r="BX13" s="4"/>
      <c r="BY13" s="11" t="e">
        <f t="shared" si="45"/>
        <v>#REF!</v>
      </c>
      <c r="BZ13" s="11" t="e">
        <f t="shared" si="1"/>
        <v>#REF!</v>
      </c>
      <c r="CA13" s="11" t="e">
        <f t="shared" si="46"/>
        <v>#REF!</v>
      </c>
      <c r="CB13" s="11" t="e">
        <f t="shared" si="2"/>
        <v>#REF!</v>
      </c>
      <c r="CC13" s="11" t="e">
        <f t="shared" si="3"/>
        <v>#REF!</v>
      </c>
      <c r="CD13" s="11" t="e">
        <f t="shared" si="4"/>
        <v>#REF!</v>
      </c>
      <c r="CE13" s="11" t="e">
        <f t="shared" si="5"/>
        <v>#REF!</v>
      </c>
      <c r="CF13" s="11" t="e">
        <f t="shared" si="6"/>
        <v>#REF!</v>
      </c>
      <c r="CG13" s="11" t="e">
        <f t="shared" si="7"/>
        <v>#REF!</v>
      </c>
      <c r="CH13" s="11" t="e">
        <f t="shared" si="8"/>
        <v>#REF!</v>
      </c>
      <c r="CI13" s="5"/>
      <c r="CJ13" s="19" t="e">
        <f t="shared" si="47"/>
        <v>#REF!</v>
      </c>
      <c r="CK13" s="21">
        <v>8</v>
      </c>
      <c r="CL13" s="5" t="e">
        <f t="shared" si="9"/>
        <v>#REF!</v>
      </c>
      <c r="CM13" s="4"/>
      <c r="CN13" s="21">
        <v>8</v>
      </c>
      <c r="CO13" s="5" t="e">
        <f t="shared" si="48"/>
        <v>#REF!</v>
      </c>
    </row>
    <row r="14" spans="2:93" x14ac:dyDescent="0.25">
      <c r="B14" s="18" t="s">
        <v>18</v>
      </c>
      <c r="C14" s="18" t="e">
        <f t="shared" si="10"/>
        <v>#REF!</v>
      </c>
      <c r="D14" s="18" t="e">
        <f t="shared" si="11"/>
        <v>#REF!</v>
      </c>
      <c r="E14" s="18" t="e">
        <f t="shared" si="12"/>
        <v>#REF!</v>
      </c>
      <c r="F14" s="18" t="e">
        <f t="shared" si="13"/>
        <v>#REF!</v>
      </c>
      <c r="G14" s="18" t="e">
        <f t="shared" si="14"/>
        <v>#REF!</v>
      </c>
      <c r="H14" s="18" t="e">
        <f t="shared" si="15"/>
        <v>#REF!</v>
      </c>
      <c r="I14" s="18" t="e">
        <f t="shared" si="16"/>
        <v>#REF!</v>
      </c>
      <c r="J14" s="18" t="e">
        <f t="shared" si="17"/>
        <v>#REF!</v>
      </c>
      <c r="K14" s="18" t="e">
        <f t="shared" si="18"/>
        <v>#REF!</v>
      </c>
      <c r="L14" s="4"/>
      <c r="M14" s="4"/>
      <c r="N14" s="4"/>
      <c r="O14" s="4"/>
      <c r="P14" s="11" t="e">
        <f>#REF!</f>
        <v>#REF!</v>
      </c>
      <c r="Q14" s="11" t="e">
        <f>#REF!</f>
        <v>#REF!</v>
      </c>
      <c r="R14" s="11" t="e">
        <f>#REF!</f>
        <v>#REF!</v>
      </c>
      <c r="S14" s="11" t="e">
        <f>#REF!</f>
        <v>#REF!</v>
      </c>
      <c r="T14" s="11" t="e">
        <f>#REF!</f>
        <v>#REF!</v>
      </c>
      <c r="U14" s="11" t="e">
        <f>#REF!</f>
        <v>#REF!</v>
      </c>
      <c r="V14" s="11" t="e">
        <f>#REF!</f>
        <v>#REF!</v>
      </c>
      <c r="W14" s="11" t="e">
        <f>#REF!</f>
        <v>#REF!</v>
      </c>
      <c r="X14" s="11" t="e">
        <f>#REF!</f>
        <v>#REF!</v>
      </c>
      <c r="Y14" s="11" t="e">
        <f>#REF!</f>
        <v>#REF!</v>
      </c>
      <c r="Z14" s="5" t="e">
        <f t="shared" si="19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20"/>
        <v>0</v>
      </c>
      <c r="AO14" s="15">
        <f t="shared" si="21"/>
        <v>0</v>
      </c>
      <c r="AP14" s="15">
        <f t="shared" si="22"/>
        <v>0</v>
      </c>
      <c r="AQ14" s="15">
        <f t="shared" si="23"/>
        <v>0</v>
      </c>
      <c r="AR14" s="15">
        <f t="shared" si="24"/>
        <v>0</v>
      </c>
      <c r="AS14" s="15">
        <f t="shared" si="25"/>
        <v>0</v>
      </c>
      <c r="AT14" s="15">
        <f t="shared" si="26"/>
        <v>0</v>
      </c>
      <c r="AU14" s="15">
        <f t="shared" si="27"/>
        <v>0</v>
      </c>
      <c r="AV14" s="5"/>
      <c r="AW14" s="14">
        <v>9</v>
      </c>
      <c r="AX14" s="15">
        <f t="shared" si="28"/>
        <v>0</v>
      </c>
      <c r="AY14" s="19">
        <f t="shared" si="49"/>
        <v>0</v>
      </c>
      <c r="AZ14" s="19">
        <f t="shared" si="29"/>
        <v>0</v>
      </c>
      <c r="BA14" s="15">
        <f t="shared" si="30"/>
        <v>0</v>
      </c>
      <c r="BB14" s="19">
        <f t="shared" si="31"/>
        <v>0</v>
      </c>
      <c r="BC14" s="19">
        <f t="shared" si="32"/>
        <v>0</v>
      </c>
      <c r="BD14" s="19">
        <f t="shared" si="33"/>
        <v>0</v>
      </c>
      <c r="BE14" s="15">
        <f t="shared" si="34"/>
        <v>0</v>
      </c>
      <c r="BF14" s="15">
        <f t="shared" si="35"/>
        <v>0</v>
      </c>
      <c r="BG14" s="5"/>
      <c r="BH14" s="5"/>
      <c r="BI14" s="14">
        <v>9</v>
      </c>
      <c r="BJ14" s="15">
        <f t="shared" si="36"/>
        <v>0</v>
      </c>
      <c r="BK14" s="24">
        <f t="shared" si="37"/>
        <v>0</v>
      </c>
      <c r="BL14" s="19">
        <f t="shared" si="38"/>
        <v>0</v>
      </c>
      <c r="BM14" s="15">
        <f t="shared" si="39"/>
        <v>0</v>
      </c>
      <c r="BN14" s="19">
        <f t="shared" si="40"/>
        <v>0</v>
      </c>
      <c r="BO14" s="19">
        <f t="shared" si="41"/>
        <v>0</v>
      </c>
      <c r="BP14" s="19">
        <f t="shared" si="42"/>
        <v>0</v>
      </c>
      <c r="BQ14" s="15">
        <f t="shared" si="43"/>
        <v>0</v>
      </c>
      <c r="BR14" s="15">
        <f t="shared" si="44"/>
        <v>0</v>
      </c>
      <c r="BS14" s="5"/>
      <c r="BT14" s="5"/>
      <c r="BU14" s="5"/>
      <c r="BV14" s="5"/>
      <c r="BW14" s="5"/>
      <c r="BX14" s="4"/>
      <c r="BY14" s="11" t="e">
        <f t="shared" si="45"/>
        <v>#REF!</v>
      </c>
      <c r="BZ14" s="11" t="e">
        <f t="shared" si="1"/>
        <v>#REF!</v>
      </c>
      <c r="CA14" s="11" t="e">
        <f t="shared" si="46"/>
        <v>#REF!</v>
      </c>
      <c r="CB14" s="11" t="e">
        <f t="shared" si="2"/>
        <v>#REF!</v>
      </c>
      <c r="CC14" s="11" t="e">
        <f t="shared" si="3"/>
        <v>#REF!</v>
      </c>
      <c r="CD14" s="11" t="e">
        <f t="shared" si="4"/>
        <v>#REF!</v>
      </c>
      <c r="CE14" s="11" t="e">
        <f t="shared" si="5"/>
        <v>#REF!</v>
      </c>
      <c r="CF14" s="11" t="e">
        <f t="shared" si="6"/>
        <v>#REF!</v>
      </c>
      <c r="CG14" s="11" t="e">
        <f t="shared" si="7"/>
        <v>#REF!</v>
      </c>
      <c r="CH14" s="11" t="e">
        <f t="shared" si="8"/>
        <v>#REF!</v>
      </c>
      <c r="CI14" s="5"/>
      <c r="CJ14" s="19" t="e">
        <f t="shared" si="47"/>
        <v>#REF!</v>
      </c>
      <c r="CK14" s="21">
        <v>9</v>
      </c>
      <c r="CL14" s="5" t="e">
        <f t="shared" si="9"/>
        <v>#REF!</v>
      </c>
      <c r="CM14" s="4"/>
      <c r="CN14" s="21">
        <v>9</v>
      </c>
      <c r="CO14" s="5" t="e">
        <f t="shared" si="48"/>
        <v>#REF!</v>
      </c>
    </row>
    <row r="15" spans="2:93" x14ac:dyDescent="0.25">
      <c r="B15" s="11" t="s">
        <v>40</v>
      </c>
      <c r="C15" s="11" t="e">
        <f t="shared" si="10"/>
        <v>#REF!</v>
      </c>
      <c r="D15" s="11" t="e">
        <f t="shared" si="11"/>
        <v>#REF!</v>
      </c>
      <c r="E15" s="11" t="e">
        <f t="shared" si="12"/>
        <v>#REF!</v>
      </c>
      <c r="F15" s="11" t="e">
        <f t="shared" si="13"/>
        <v>#REF!</v>
      </c>
      <c r="G15" s="11" t="e">
        <f t="shared" si="14"/>
        <v>#REF!</v>
      </c>
      <c r="H15" s="11" t="e">
        <f t="shared" si="15"/>
        <v>#REF!</v>
      </c>
      <c r="I15" s="11" t="e">
        <f t="shared" si="16"/>
        <v>#REF!</v>
      </c>
      <c r="J15" s="11" t="e">
        <f t="shared" si="17"/>
        <v>#REF!</v>
      </c>
      <c r="K15" s="11" t="e">
        <f t="shared" si="18"/>
        <v>#REF!</v>
      </c>
      <c r="L15" s="4"/>
      <c r="M15" s="4"/>
      <c r="N15" s="4"/>
      <c r="O15" s="4"/>
      <c r="P15" s="11" t="e">
        <f>#REF!</f>
        <v>#REF!</v>
      </c>
      <c r="Q15" s="11" t="e">
        <f>#REF!</f>
        <v>#REF!</v>
      </c>
      <c r="R15" s="11" t="e">
        <f>#REF!</f>
        <v>#REF!</v>
      </c>
      <c r="S15" s="11" t="e">
        <f>#REF!</f>
        <v>#REF!</v>
      </c>
      <c r="T15" s="11" t="e">
        <f>#REF!</f>
        <v>#REF!</v>
      </c>
      <c r="U15" s="11" t="e">
        <f>#REF!</f>
        <v>#REF!</v>
      </c>
      <c r="V15" s="11" t="e">
        <f>#REF!</f>
        <v>#REF!</v>
      </c>
      <c r="W15" s="11" t="e">
        <f>#REF!</f>
        <v>#REF!</v>
      </c>
      <c r="X15" s="11" t="e">
        <f>#REF!</f>
        <v>#REF!</v>
      </c>
      <c r="Y15" s="11" t="e">
        <f>#REF!</f>
        <v>#REF!</v>
      </c>
      <c r="Z15" s="5" t="e">
        <f t="shared" si="19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20"/>
        <v>0</v>
      </c>
      <c r="AO15" s="15">
        <f t="shared" si="21"/>
        <v>0</v>
      </c>
      <c r="AP15" s="15">
        <f t="shared" si="22"/>
        <v>0</v>
      </c>
      <c r="AQ15" s="15">
        <f t="shared" si="23"/>
        <v>0</v>
      </c>
      <c r="AR15" s="15">
        <f t="shared" si="24"/>
        <v>0</v>
      </c>
      <c r="AS15" s="15">
        <f t="shared" si="25"/>
        <v>0</v>
      </c>
      <c r="AT15" s="15">
        <f t="shared" si="26"/>
        <v>0</v>
      </c>
      <c r="AU15" s="15">
        <f t="shared" si="27"/>
        <v>0</v>
      </c>
      <c r="AV15" s="5"/>
      <c r="AW15" s="14">
        <v>10</v>
      </c>
      <c r="AX15" s="15">
        <f t="shared" si="28"/>
        <v>0</v>
      </c>
      <c r="AY15" s="19">
        <f t="shared" si="49"/>
        <v>0</v>
      </c>
      <c r="AZ15" s="19">
        <f t="shared" si="29"/>
        <v>0</v>
      </c>
      <c r="BA15" s="15">
        <f t="shared" si="30"/>
        <v>0</v>
      </c>
      <c r="BB15" s="19">
        <f t="shared" si="31"/>
        <v>0</v>
      </c>
      <c r="BC15" s="19">
        <f t="shared" si="32"/>
        <v>0</v>
      </c>
      <c r="BD15" s="19">
        <f t="shared" si="33"/>
        <v>0</v>
      </c>
      <c r="BE15" s="15">
        <f t="shared" si="34"/>
        <v>0</v>
      </c>
      <c r="BF15" s="15">
        <f t="shared" si="35"/>
        <v>0</v>
      </c>
      <c r="BG15" s="5"/>
      <c r="BH15" s="5"/>
      <c r="BI15" s="14">
        <v>10</v>
      </c>
      <c r="BJ15" s="15">
        <f t="shared" si="36"/>
        <v>0</v>
      </c>
      <c r="BK15" s="24">
        <f t="shared" si="37"/>
        <v>0</v>
      </c>
      <c r="BL15" s="19">
        <f t="shared" si="38"/>
        <v>0</v>
      </c>
      <c r="BM15" s="15">
        <f t="shared" si="39"/>
        <v>0</v>
      </c>
      <c r="BN15" s="19">
        <f t="shared" si="40"/>
        <v>0</v>
      </c>
      <c r="BO15" s="19">
        <f t="shared" si="41"/>
        <v>0</v>
      </c>
      <c r="BP15" s="19">
        <f t="shared" si="42"/>
        <v>0</v>
      </c>
      <c r="BQ15" s="15">
        <f t="shared" si="43"/>
        <v>0</v>
      </c>
      <c r="BR15" s="15">
        <f t="shared" si="44"/>
        <v>0</v>
      </c>
      <c r="BS15" s="5"/>
      <c r="BT15" s="5"/>
      <c r="BU15" s="5"/>
      <c r="BV15" s="5"/>
      <c r="BW15" s="5"/>
      <c r="BX15" s="4"/>
      <c r="BY15" s="11" t="e">
        <f t="shared" si="45"/>
        <v>#REF!</v>
      </c>
      <c r="BZ15" s="11" t="e">
        <f t="shared" si="1"/>
        <v>#REF!</v>
      </c>
      <c r="CA15" s="11" t="e">
        <f t="shared" si="46"/>
        <v>#REF!</v>
      </c>
      <c r="CB15" s="11" t="e">
        <f t="shared" si="2"/>
        <v>#REF!</v>
      </c>
      <c r="CC15" s="11" t="e">
        <f t="shared" si="3"/>
        <v>#REF!</v>
      </c>
      <c r="CD15" s="11" t="e">
        <f t="shared" si="4"/>
        <v>#REF!</v>
      </c>
      <c r="CE15" s="11" t="e">
        <f t="shared" si="5"/>
        <v>#REF!</v>
      </c>
      <c r="CF15" s="11" t="e">
        <f t="shared" si="6"/>
        <v>#REF!</v>
      </c>
      <c r="CG15" s="11" t="e">
        <f t="shared" si="7"/>
        <v>#REF!</v>
      </c>
      <c r="CH15" s="11" t="e">
        <f t="shared" si="8"/>
        <v>#REF!</v>
      </c>
      <c r="CI15" s="5"/>
      <c r="CJ15" s="19" t="e">
        <f t="shared" si="47"/>
        <v>#REF!</v>
      </c>
      <c r="CK15" s="21">
        <v>10</v>
      </c>
      <c r="CL15" s="5" t="e">
        <f t="shared" si="9"/>
        <v>#REF!</v>
      </c>
      <c r="CM15" s="4"/>
      <c r="CN15" s="21">
        <v>10</v>
      </c>
      <c r="CO15" s="5" t="e">
        <f t="shared" si="48"/>
        <v>#REF!</v>
      </c>
    </row>
    <row r="16" spans="2:93" x14ac:dyDescent="0.25">
      <c r="B16" s="18" t="s">
        <v>41</v>
      </c>
      <c r="C16" s="18" t="e">
        <f t="shared" si="10"/>
        <v>#REF!</v>
      </c>
      <c r="D16" s="18" t="e">
        <f t="shared" si="11"/>
        <v>#REF!</v>
      </c>
      <c r="E16" s="18" t="e">
        <f t="shared" si="12"/>
        <v>#REF!</v>
      </c>
      <c r="F16" s="18" t="e">
        <f t="shared" si="13"/>
        <v>#REF!</v>
      </c>
      <c r="G16" s="18" t="e">
        <f t="shared" si="14"/>
        <v>#REF!</v>
      </c>
      <c r="H16" s="18" t="e">
        <f t="shared" si="15"/>
        <v>#REF!</v>
      </c>
      <c r="I16" s="18" t="e">
        <f t="shared" si="16"/>
        <v>#REF!</v>
      </c>
      <c r="J16" s="18" t="e">
        <f t="shared" si="17"/>
        <v>#REF!</v>
      </c>
      <c r="K16" s="18" t="e">
        <f t="shared" si="18"/>
        <v>#REF!</v>
      </c>
      <c r="L16" s="4"/>
      <c r="M16" s="4"/>
      <c r="N16" s="4"/>
      <c r="O16" s="4"/>
      <c r="P16" s="11" t="e">
        <f>#REF!</f>
        <v>#REF!</v>
      </c>
      <c r="Q16" s="11" t="e">
        <f>#REF!</f>
        <v>#REF!</v>
      </c>
      <c r="R16" s="11" t="e">
        <f>#REF!</f>
        <v>#REF!</v>
      </c>
      <c r="S16" s="11" t="e">
        <f>#REF!</f>
        <v>#REF!</v>
      </c>
      <c r="T16" s="11" t="e">
        <f>#REF!</f>
        <v>#REF!</v>
      </c>
      <c r="U16" s="11" t="e">
        <f>#REF!</f>
        <v>#REF!</v>
      </c>
      <c r="V16" s="11" t="e">
        <f>#REF!</f>
        <v>#REF!</v>
      </c>
      <c r="W16" s="11" t="e">
        <f>#REF!</f>
        <v>#REF!</v>
      </c>
      <c r="X16" s="11" t="e">
        <f>#REF!</f>
        <v>#REF!</v>
      </c>
      <c r="Y16" s="11" t="e">
        <f>#REF!</f>
        <v>#REF!</v>
      </c>
      <c r="Z16" s="5" t="e">
        <f t="shared" si="19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20"/>
        <v>0</v>
      </c>
      <c r="AO16" s="15">
        <f t="shared" si="21"/>
        <v>0</v>
      </c>
      <c r="AP16" s="15">
        <f t="shared" si="22"/>
        <v>0</v>
      </c>
      <c r="AQ16" s="15">
        <f t="shared" si="23"/>
        <v>0</v>
      </c>
      <c r="AR16" s="15">
        <f t="shared" si="24"/>
        <v>0</v>
      </c>
      <c r="AS16" s="15">
        <f t="shared" si="25"/>
        <v>0</v>
      </c>
      <c r="AT16" s="15">
        <f t="shared" si="26"/>
        <v>0</v>
      </c>
      <c r="AU16" s="15">
        <f t="shared" si="27"/>
        <v>0</v>
      </c>
      <c r="AV16" s="5"/>
      <c r="AW16" s="14">
        <v>11</v>
      </c>
      <c r="AX16" s="15">
        <f t="shared" si="28"/>
        <v>0</v>
      </c>
      <c r="AY16" s="19">
        <f t="shared" si="49"/>
        <v>0</v>
      </c>
      <c r="AZ16" s="19">
        <f t="shared" si="29"/>
        <v>0</v>
      </c>
      <c r="BA16" s="15">
        <f t="shared" si="30"/>
        <v>0</v>
      </c>
      <c r="BB16" s="19">
        <f t="shared" si="31"/>
        <v>0</v>
      </c>
      <c r="BC16" s="19">
        <f t="shared" si="32"/>
        <v>0</v>
      </c>
      <c r="BD16" s="19">
        <f t="shared" si="33"/>
        <v>0</v>
      </c>
      <c r="BE16" s="15">
        <f t="shared" si="34"/>
        <v>0</v>
      </c>
      <c r="BF16" s="15">
        <f t="shared" si="35"/>
        <v>0</v>
      </c>
      <c r="BG16" s="5"/>
      <c r="BH16" s="5"/>
      <c r="BI16" s="14">
        <v>11</v>
      </c>
      <c r="BJ16" s="15">
        <f t="shared" si="36"/>
        <v>0</v>
      </c>
      <c r="BK16" s="24">
        <f t="shared" si="37"/>
        <v>0</v>
      </c>
      <c r="BL16" s="19">
        <f t="shared" si="38"/>
        <v>0</v>
      </c>
      <c r="BM16" s="15">
        <f t="shared" si="39"/>
        <v>0</v>
      </c>
      <c r="BN16" s="19">
        <f t="shared" si="40"/>
        <v>0</v>
      </c>
      <c r="BO16" s="19">
        <f t="shared" si="41"/>
        <v>0</v>
      </c>
      <c r="BP16" s="19">
        <f t="shared" si="42"/>
        <v>0</v>
      </c>
      <c r="BQ16" s="15">
        <f t="shared" si="43"/>
        <v>0</v>
      </c>
      <c r="BR16" s="15">
        <f t="shared" si="44"/>
        <v>0</v>
      </c>
      <c r="BS16" s="5"/>
      <c r="BT16" s="5"/>
      <c r="BU16" s="5"/>
      <c r="BV16" s="5"/>
      <c r="BW16" s="5"/>
      <c r="BX16" s="4"/>
      <c r="BY16" s="11" t="e">
        <f t="shared" si="45"/>
        <v>#REF!</v>
      </c>
      <c r="BZ16" s="11" t="e">
        <f t="shared" si="1"/>
        <v>#REF!</v>
      </c>
      <c r="CA16" s="11" t="e">
        <f t="shared" si="46"/>
        <v>#REF!</v>
      </c>
      <c r="CB16" s="11" t="e">
        <f t="shared" si="2"/>
        <v>#REF!</v>
      </c>
      <c r="CC16" s="11" t="e">
        <f t="shared" si="3"/>
        <v>#REF!</v>
      </c>
      <c r="CD16" s="11" t="e">
        <f t="shared" si="4"/>
        <v>#REF!</v>
      </c>
      <c r="CE16" s="11" t="e">
        <f t="shared" si="5"/>
        <v>#REF!</v>
      </c>
      <c r="CF16" s="11" t="e">
        <f t="shared" si="6"/>
        <v>#REF!</v>
      </c>
      <c r="CG16" s="11" t="e">
        <f t="shared" si="7"/>
        <v>#REF!</v>
      </c>
      <c r="CH16" s="11" t="e">
        <f t="shared" si="8"/>
        <v>#REF!</v>
      </c>
      <c r="CI16" s="5"/>
      <c r="CJ16" s="19" t="e">
        <f t="shared" si="47"/>
        <v>#REF!</v>
      </c>
      <c r="CK16" s="21">
        <v>11</v>
      </c>
      <c r="CL16" s="5" t="e">
        <f t="shared" si="9"/>
        <v>#REF!</v>
      </c>
      <c r="CM16" s="4"/>
      <c r="CN16" s="21">
        <v>11</v>
      </c>
      <c r="CO16" s="5" t="e">
        <f t="shared" si="48"/>
        <v>#REF!</v>
      </c>
    </row>
    <row r="17" spans="2:93" x14ac:dyDescent="0.25">
      <c r="B17" s="11" t="s">
        <v>42</v>
      </c>
      <c r="C17" s="11" t="e">
        <f t="shared" si="10"/>
        <v>#REF!</v>
      </c>
      <c r="D17" s="11" t="e">
        <f t="shared" si="11"/>
        <v>#REF!</v>
      </c>
      <c r="E17" s="11" t="e">
        <f t="shared" si="12"/>
        <v>#REF!</v>
      </c>
      <c r="F17" s="11" t="e">
        <f t="shared" si="13"/>
        <v>#REF!</v>
      </c>
      <c r="G17" s="11" t="e">
        <f t="shared" si="14"/>
        <v>#REF!</v>
      </c>
      <c r="H17" s="11" t="e">
        <f t="shared" si="15"/>
        <v>#REF!</v>
      </c>
      <c r="I17" s="11" t="e">
        <f t="shared" si="16"/>
        <v>#REF!</v>
      </c>
      <c r="J17" s="11" t="e">
        <f t="shared" si="17"/>
        <v>#REF!</v>
      </c>
      <c r="K17" s="11" t="e">
        <f t="shared" si="18"/>
        <v>#REF!</v>
      </c>
      <c r="L17" s="4"/>
      <c r="M17" s="4"/>
      <c r="N17" s="4"/>
      <c r="O17" s="4"/>
      <c r="P17" s="11" t="e">
        <f>#REF!</f>
        <v>#REF!</v>
      </c>
      <c r="Q17" s="11" t="e">
        <f>#REF!</f>
        <v>#REF!</v>
      </c>
      <c r="R17" s="11" t="e">
        <f>#REF!</f>
        <v>#REF!</v>
      </c>
      <c r="S17" s="11" t="e">
        <f>#REF!</f>
        <v>#REF!</v>
      </c>
      <c r="T17" s="11" t="e">
        <f>#REF!</f>
        <v>#REF!</v>
      </c>
      <c r="U17" s="11" t="e">
        <f>#REF!</f>
        <v>#REF!</v>
      </c>
      <c r="V17" s="11" t="e">
        <f>#REF!</f>
        <v>#REF!</v>
      </c>
      <c r="W17" s="11" t="e">
        <f>#REF!</f>
        <v>#REF!</v>
      </c>
      <c r="X17" s="11" t="e">
        <f>#REF!</f>
        <v>#REF!</v>
      </c>
      <c r="Y17" s="11" t="e">
        <f>#REF!</f>
        <v>#REF!</v>
      </c>
      <c r="Z17" s="5" t="e">
        <f t="shared" si="19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20"/>
        <v>0</v>
      </c>
      <c r="AO17" s="15">
        <f t="shared" si="21"/>
        <v>0</v>
      </c>
      <c r="AP17" s="15">
        <f t="shared" si="22"/>
        <v>0</v>
      </c>
      <c r="AQ17" s="15">
        <f t="shared" si="23"/>
        <v>0</v>
      </c>
      <c r="AR17" s="15">
        <f t="shared" si="24"/>
        <v>0</v>
      </c>
      <c r="AS17" s="15">
        <f t="shared" si="25"/>
        <v>0</v>
      </c>
      <c r="AT17" s="15">
        <f t="shared" si="26"/>
        <v>0</v>
      </c>
      <c r="AU17" s="15">
        <f t="shared" si="27"/>
        <v>0</v>
      </c>
      <c r="AV17" s="5"/>
      <c r="AW17" s="14">
        <v>12</v>
      </c>
      <c r="AX17" s="15">
        <f t="shared" si="28"/>
        <v>0</v>
      </c>
      <c r="AY17" s="19">
        <f t="shared" si="49"/>
        <v>0</v>
      </c>
      <c r="AZ17" s="19">
        <f t="shared" si="29"/>
        <v>0</v>
      </c>
      <c r="BA17" s="15">
        <f t="shared" si="30"/>
        <v>0</v>
      </c>
      <c r="BB17" s="19">
        <f t="shared" si="31"/>
        <v>0</v>
      </c>
      <c r="BC17" s="19">
        <f t="shared" si="32"/>
        <v>0</v>
      </c>
      <c r="BD17" s="19">
        <f t="shared" si="33"/>
        <v>0</v>
      </c>
      <c r="BE17" s="15">
        <f t="shared" si="34"/>
        <v>0</v>
      </c>
      <c r="BF17" s="15">
        <f t="shared" si="35"/>
        <v>0</v>
      </c>
      <c r="BG17" s="5"/>
      <c r="BH17" s="5"/>
      <c r="BI17" s="14">
        <v>12</v>
      </c>
      <c r="BJ17" s="15">
        <f t="shared" si="36"/>
        <v>0</v>
      </c>
      <c r="BK17" s="24">
        <f t="shared" si="37"/>
        <v>0</v>
      </c>
      <c r="BL17" s="19">
        <f t="shared" si="38"/>
        <v>0</v>
      </c>
      <c r="BM17" s="15">
        <f t="shared" si="39"/>
        <v>0</v>
      </c>
      <c r="BN17" s="19">
        <f t="shared" si="40"/>
        <v>0</v>
      </c>
      <c r="BO17" s="19">
        <f t="shared" si="41"/>
        <v>0</v>
      </c>
      <c r="BP17" s="19">
        <f t="shared" si="42"/>
        <v>0</v>
      </c>
      <c r="BQ17" s="15">
        <f t="shared" si="43"/>
        <v>0</v>
      </c>
      <c r="BR17" s="15">
        <f t="shared" si="44"/>
        <v>0</v>
      </c>
      <c r="BS17" s="5"/>
      <c r="BT17" s="5"/>
      <c r="BU17" s="5"/>
      <c r="BV17" s="5"/>
      <c r="BW17" s="5"/>
      <c r="BX17" s="4"/>
      <c r="BY17" s="11" t="e">
        <f t="shared" si="45"/>
        <v>#REF!</v>
      </c>
      <c r="BZ17" s="11" t="e">
        <f t="shared" si="1"/>
        <v>#REF!</v>
      </c>
      <c r="CA17" s="11" t="e">
        <f t="shared" si="46"/>
        <v>#REF!</v>
      </c>
      <c r="CB17" s="11" t="e">
        <f t="shared" si="2"/>
        <v>#REF!</v>
      </c>
      <c r="CC17" s="11" t="e">
        <f t="shared" si="3"/>
        <v>#REF!</v>
      </c>
      <c r="CD17" s="11" t="e">
        <f t="shared" si="4"/>
        <v>#REF!</v>
      </c>
      <c r="CE17" s="11" t="e">
        <f t="shared" si="5"/>
        <v>#REF!</v>
      </c>
      <c r="CF17" s="11" t="e">
        <f t="shared" si="6"/>
        <v>#REF!</v>
      </c>
      <c r="CG17" s="11" t="e">
        <f t="shared" si="7"/>
        <v>#REF!</v>
      </c>
      <c r="CH17" s="11" t="e">
        <f t="shared" si="8"/>
        <v>#REF!</v>
      </c>
      <c r="CI17" s="5"/>
      <c r="CJ17" s="19" t="e">
        <f t="shared" si="47"/>
        <v>#REF!</v>
      </c>
      <c r="CK17" s="21">
        <v>12</v>
      </c>
      <c r="CL17" s="5" t="e">
        <f t="shared" si="9"/>
        <v>#REF!</v>
      </c>
      <c r="CM17" s="4"/>
      <c r="CN17" s="21">
        <v>12</v>
      </c>
      <c r="CO17" s="5" t="e">
        <f t="shared" si="48"/>
        <v>#REF!</v>
      </c>
    </row>
    <row r="18" spans="2:93" x14ac:dyDescent="0.25">
      <c r="B18" s="18" t="s">
        <v>43</v>
      </c>
      <c r="C18" s="18" t="e">
        <f t="shared" si="10"/>
        <v>#REF!</v>
      </c>
      <c r="D18" s="18" t="e">
        <f t="shared" si="11"/>
        <v>#REF!</v>
      </c>
      <c r="E18" s="18" t="e">
        <f t="shared" si="12"/>
        <v>#REF!</v>
      </c>
      <c r="F18" s="18" t="e">
        <f t="shared" si="13"/>
        <v>#REF!</v>
      </c>
      <c r="G18" s="18" t="e">
        <f t="shared" si="14"/>
        <v>#REF!</v>
      </c>
      <c r="H18" s="18" t="e">
        <f t="shared" si="15"/>
        <v>#REF!</v>
      </c>
      <c r="I18" s="18" t="e">
        <f t="shared" si="16"/>
        <v>#REF!</v>
      </c>
      <c r="J18" s="18" t="e">
        <f t="shared" si="17"/>
        <v>#REF!</v>
      </c>
      <c r="K18" s="18" t="e">
        <f t="shared" si="18"/>
        <v>#REF!</v>
      </c>
      <c r="L18" s="4"/>
      <c r="M18" s="4"/>
      <c r="N18" s="4"/>
      <c r="O18" s="4"/>
      <c r="P18" s="11" t="e">
        <f>#REF!</f>
        <v>#REF!</v>
      </c>
      <c r="Q18" s="11" t="e">
        <f>#REF!</f>
        <v>#REF!</v>
      </c>
      <c r="R18" s="11" t="e">
        <f>#REF!</f>
        <v>#REF!</v>
      </c>
      <c r="S18" s="11" t="e">
        <f>#REF!</f>
        <v>#REF!</v>
      </c>
      <c r="T18" s="11" t="e">
        <f>#REF!</f>
        <v>#REF!</v>
      </c>
      <c r="U18" s="11" t="e">
        <f>#REF!</f>
        <v>#REF!</v>
      </c>
      <c r="V18" s="11" t="e">
        <f>#REF!</f>
        <v>#REF!</v>
      </c>
      <c r="W18" s="11" t="e">
        <f>#REF!</f>
        <v>#REF!</v>
      </c>
      <c r="X18" s="11" t="e">
        <f>#REF!</f>
        <v>#REF!</v>
      </c>
      <c r="Y18" s="11" t="e">
        <f>#REF!</f>
        <v>#REF!</v>
      </c>
      <c r="Z18" s="5" t="e">
        <f t="shared" si="19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20"/>
        <v>0</v>
      </c>
      <c r="AO18" s="15">
        <f t="shared" si="21"/>
        <v>0</v>
      </c>
      <c r="AP18" s="15">
        <f t="shared" si="22"/>
        <v>0</v>
      </c>
      <c r="AQ18" s="15">
        <f t="shared" si="23"/>
        <v>0</v>
      </c>
      <c r="AR18" s="15">
        <f t="shared" si="24"/>
        <v>0</v>
      </c>
      <c r="AS18" s="15">
        <f t="shared" si="25"/>
        <v>0</v>
      </c>
      <c r="AT18" s="15">
        <f t="shared" si="26"/>
        <v>0</v>
      </c>
      <c r="AU18" s="15">
        <f t="shared" si="27"/>
        <v>0</v>
      </c>
      <c r="AV18" s="5"/>
      <c r="AW18" s="14">
        <v>13</v>
      </c>
      <c r="AX18" s="15">
        <f t="shared" si="28"/>
        <v>0</v>
      </c>
      <c r="AY18" s="19">
        <f t="shared" si="49"/>
        <v>0</v>
      </c>
      <c r="AZ18" s="19">
        <f t="shared" si="29"/>
        <v>0</v>
      </c>
      <c r="BA18" s="15">
        <f t="shared" si="30"/>
        <v>0</v>
      </c>
      <c r="BB18" s="19">
        <f t="shared" si="31"/>
        <v>0</v>
      </c>
      <c r="BC18" s="19">
        <f t="shared" si="32"/>
        <v>0</v>
      </c>
      <c r="BD18" s="19">
        <f t="shared" si="33"/>
        <v>0</v>
      </c>
      <c r="BE18" s="15">
        <f t="shared" si="34"/>
        <v>0</v>
      </c>
      <c r="BF18" s="15">
        <f t="shared" si="35"/>
        <v>0</v>
      </c>
      <c r="BG18" s="5"/>
      <c r="BH18" s="5"/>
      <c r="BI18" s="14">
        <v>13</v>
      </c>
      <c r="BJ18" s="15">
        <f t="shared" si="36"/>
        <v>0</v>
      </c>
      <c r="BK18" s="24">
        <f t="shared" si="37"/>
        <v>0</v>
      </c>
      <c r="BL18" s="19">
        <f t="shared" si="38"/>
        <v>0</v>
      </c>
      <c r="BM18" s="15">
        <f t="shared" si="39"/>
        <v>0</v>
      </c>
      <c r="BN18" s="19">
        <f t="shared" si="40"/>
        <v>0</v>
      </c>
      <c r="BO18" s="19">
        <f t="shared" si="41"/>
        <v>0</v>
      </c>
      <c r="BP18" s="19">
        <f t="shared" si="42"/>
        <v>0</v>
      </c>
      <c r="BQ18" s="15">
        <f t="shared" si="43"/>
        <v>0</v>
      </c>
      <c r="BR18" s="15">
        <f t="shared" si="44"/>
        <v>0</v>
      </c>
      <c r="BS18" s="5"/>
      <c r="BT18" s="5"/>
      <c r="BU18" s="5"/>
      <c r="BV18" s="5"/>
      <c r="BW18" s="5"/>
      <c r="BX18" s="4"/>
      <c r="BY18" s="11" t="e">
        <f t="shared" si="45"/>
        <v>#REF!</v>
      </c>
      <c r="BZ18" s="11" t="e">
        <f t="shared" si="1"/>
        <v>#REF!</v>
      </c>
      <c r="CA18" s="11" t="e">
        <f t="shared" si="46"/>
        <v>#REF!</v>
      </c>
      <c r="CB18" s="11" t="e">
        <f t="shared" si="2"/>
        <v>#REF!</v>
      </c>
      <c r="CC18" s="11" t="e">
        <f t="shared" si="3"/>
        <v>#REF!</v>
      </c>
      <c r="CD18" s="11" t="e">
        <f t="shared" si="4"/>
        <v>#REF!</v>
      </c>
      <c r="CE18" s="11" t="e">
        <f t="shared" si="5"/>
        <v>#REF!</v>
      </c>
      <c r="CF18" s="11" t="e">
        <f t="shared" si="6"/>
        <v>#REF!</v>
      </c>
      <c r="CG18" s="11" t="e">
        <f t="shared" si="7"/>
        <v>#REF!</v>
      </c>
      <c r="CH18" s="11" t="e">
        <f t="shared" si="8"/>
        <v>#REF!</v>
      </c>
      <c r="CI18" s="5"/>
      <c r="CJ18" s="19" t="e">
        <f t="shared" si="47"/>
        <v>#REF!</v>
      </c>
      <c r="CK18" s="21">
        <v>13</v>
      </c>
      <c r="CL18" s="5" t="e">
        <f t="shared" si="9"/>
        <v>#REF!</v>
      </c>
      <c r="CM18" s="4"/>
      <c r="CN18" s="21">
        <v>13</v>
      </c>
      <c r="CO18" s="5" t="e">
        <f t="shared" si="48"/>
        <v>#REF!</v>
      </c>
    </row>
    <row r="19" spans="2:93" x14ac:dyDescent="0.25">
      <c r="B19" s="11" t="s">
        <v>44</v>
      </c>
      <c r="C19" s="11" t="e">
        <f t="shared" si="10"/>
        <v>#REF!</v>
      </c>
      <c r="D19" s="11" t="e">
        <f t="shared" si="11"/>
        <v>#REF!</v>
      </c>
      <c r="E19" s="11" t="e">
        <f t="shared" si="12"/>
        <v>#REF!</v>
      </c>
      <c r="F19" s="11" t="e">
        <f t="shared" si="13"/>
        <v>#REF!</v>
      </c>
      <c r="G19" s="11" t="e">
        <f t="shared" si="14"/>
        <v>#REF!</v>
      </c>
      <c r="H19" s="11" t="e">
        <f t="shared" si="15"/>
        <v>#REF!</v>
      </c>
      <c r="I19" s="11" t="e">
        <f t="shared" si="16"/>
        <v>#REF!</v>
      </c>
      <c r="J19" s="11" t="e">
        <f t="shared" si="17"/>
        <v>#REF!</v>
      </c>
      <c r="K19" s="11" t="e">
        <f t="shared" si="18"/>
        <v>#REF!</v>
      </c>
      <c r="L19" s="4"/>
      <c r="M19" s="4"/>
      <c r="N19" s="4"/>
      <c r="O19" s="4"/>
      <c r="P19" s="11" t="e">
        <f>#REF!</f>
        <v>#REF!</v>
      </c>
      <c r="Q19" s="11" t="e">
        <f>#REF!</f>
        <v>#REF!</v>
      </c>
      <c r="R19" s="11" t="e">
        <f>#REF!</f>
        <v>#REF!</v>
      </c>
      <c r="S19" s="11" t="e">
        <f>#REF!</f>
        <v>#REF!</v>
      </c>
      <c r="T19" s="11" t="e">
        <f>#REF!</f>
        <v>#REF!</v>
      </c>
      <c r="U19" s="11" t="e">
        <f>#REF!</f>
        <v>#REF!</v>
      </c>
      <c r="V19" s="11" t="e">
        <f>#REF!</f>
        <v>#REF!</v>
      </c>
      <c r="W19" s="11" t="e">
        <f>#REF!</f>
        <v>#REF!</v>
      </c>
      <c r="X19" s="11" t="e">
        <f>#REF!</f>
        <v>#REF!</v>
      </c>
      <c r="Y19" s="11" t="e">
        <f>#REF!</f>
        <v>#REF!</v>
      </c>
      <c r="Z19" s="5" t="e">
        <f t="shared" si="19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20"/>
        <v>0</v>
      </c>
      <c r="AO19" s="15">
        <f t="shared" si="21"/>
        <v>0</v>
      </c>
      <c r="AP19" s="15">
        <f t="shared" si="22"/>
        <v>0</v>
      </c>
      <c r="AQ19" s="15">
        <f t="shared" si="23"/>
        <v>0</v>
      </c>
      <c r="AR19" s="15">
        <f t="shared" si="24"/>
        <v>0</v>
      </c>
      <c r="AS19" s="15">
        <f t="shared" si="25"/>
        <v>0</v>
      </c>
      <c r="AT19" s="15">
        <f t="shared" si="26"/>
        <v>0</v>
      </c>
      <c r="AU19" s="15">
        <f t="shared" si="27"/>
        <v>0</v>
      </c>
      <c r="AV19" s="5"/>
      <c r="AW19" s="14">
        <v>14</v>
      </c>
      <c r="AX19" s="15">
        <f t="shared" si="28"/>
        <v>0</v>
      </c>
      <c r="AY19" s="19">
        <f t="shared" si="49"/>
        <v>0</v>
      </c>
      <c r="AZ19" s="19">
        <f t="shared" si="29"/>
        <v>0</v>
      </c>
      <c r="BA19" s="15">
        <f t="shared" si="30"/>
        <v>0</v>
      </c>
      <c r="BB19" s="19">
        <f t="shared" si="31"/>
        <v>0</v>
      </c>
      <c r="BC19" s="19">
        <f t="shared" si="32"/>
        <v>0</v>
      </c>
      <c r="BD19" s="19">
        <f t="shared" si="33"/>
        <v>0</v>
      </c>
      <c r="BE19" s="15">
        <f t="shared" si="34"/>
        <v>0</v>
      </c>
      <c r="BF19" s="15">
        <f t="shared" si="35"/>
        <v>0</v>
      </c>
      <c r="BG19" s="5"/>
      <c r="BH19" s="5"/>
      <c r="BI19" s="14">
        <v>14</v>
      </c>
      <c r="BJ19" s="15">
        <f t="shared" si="36"/>
        <v>0</v>
      </c>
      <c r="BK19" s="24">
        <f t="shared" si="37"/>
        <v>0</v>
      </c>
      <c r="BL19" s="19">
        <f t="shared" si="38"/>
        <v>0</v>
      </c>
      <c r="BM19" s="15">
        <f t="shared" si="39"/>
        <v>0</v>
      </c>
      <c r="BN19" s="19">
        <f t="shared" si="40"/>
        <v>0</v>
      </c>
      <c r="BO19" s="19">
        <f t="shared" si="41"/>
        <v>0</v>
      </c>
      <c r="BP19" s="19">
        <f t="shared" si="42"/>
        <v>0</v>
      </c>
      <c r="BQ19" s="15">
        <f t="shared" si="43"/>
        <v>0</v>
      </c>
      <c r="BR19" s="15">
        <f t="shared" si="44"/>
        <v>0</v>
      </c>
      <c r="BS19" s="5"/>
      <c r="BT19" s="5"/>
      <c r="BU19" s="5"/>
      <c r="BV19" s="5"/>
      <c r="BW19" s="5"/>
      <c r="BX19" s="4"/>
      <c r="BY19" s="11" t="e">
        <f t="shared" si="45"/>
        <v>#REF!</v>
      </c>
      <c r="BZ19" s="11" t="e">
        <f t="shared" si="1"/>
        <v>#REF!</v>
      </c>
      <c r="CA19" s="11" t="e">
        <f t="shared" si="46"/>
        <v>#REF!</v>
      </c>
      <c r="CB19" s="11" t="e">
        <f t="shared" si="2"/>
        <v>#REF!</v>
      </c>
      <c r="CC19" s="11" t="e">
        <f t="shared" si="3"/>
        <v>#REF!</v>
      </c>
      <c r="CD19" s="11" t="e">
        <f t="shared" si="4"/>
        <v>#REF!</v>
      </c>
      <c r="CE19" s="11" t="e">
        <f t="shared" si="5"/>
        <v>#REF!</v>
      </c>
      <c r="CF19" s="11" t="e">
        <f t="shared" si="6"/>
        <v>#REF!</v>
      </c>
      <c r="CG19" s="11" t="e">
        <f t="shared" si="7"/>
        <v>#REF!</v>
      </c>
      <c r="CH19" s="11" t="e">
        <f t="shared" si="8"/>
        <v>#REF!</v>
      </c>
      <c r="CI19" s="5"/>
      <c r="CJ19" s="19" t="e">
        <f t="shared" si="47"/>
        <v>#REF!</v>
      </c>
      <c r="CK19" s="21">
        <v>14</v>
      </c>
      <c r="CL19" s="5" t="e">
        <f t="shared" si="9"/>
        <v>#REF!</v>
      </c>
      <c r="CM19" s="4"/>
      <c r="CN19" s="21">
        <v>14</v>
      </c>
      <c r="CO19" s="5" t="e">
        <f t="shared" si="48"/>
        <v>#REF!</v>
      </c>
    </row>
    <row r="20" spans="2:93" x14ac:dyDescent="0.25">
      <c r="B20" s="18" t="s">
        <v>45</v>
      </c>
      <c r="C20" s="18" t="e">
        <f t="shared" si="10"/>
        <v>#REF!</v>
      </c>
      <c r="D20" s="18" t="e">
        <f t="shared" si="11"/>
        <v>#REF!</v>
      </c>
      <c r="E20" s="18" t="e">
        <f t="shared" si="12"/>
        <v>#REF!</v>
      </c>
      <c r="F20" s="18" t="e">
        <f t="shared" si="13"/>
        <v>#REF!</v>
      </c>
      <c r="G20" s="18" t="e">
        <f t="shared" si="14"/>
        <v>#REF!</v>
      </c>
      <c r="H20" s="18" t="e">
        <f t="shared" si="15"/>
        <v>#REF!</v>
      </c>
      <c r="I20" s="18" t="e">
        <f t="shared" si="16"/>
        <v>#REF!</v>
      </c>
      <c r="J20" s="18" t="e">
        <f t="shared" si="17"/>
        <v>#REF!</v>
      </c>
      <c r="K20" s="18" t="e">
        <f t="shared" si="18"/>
        <v>#REF!</v>
      </c>
      <c r="L20" s="4"/>
      <c r="M20" s="4"/>
      <c r="N20" s="4"/>
      <c r="O20" s="4"/>
      <c r="P20" s="11" t="e">
        <f>#REF!</f>
        <v>#REF!</v>
      </c>
      <c r="Q20" s="11" t="e">
        <f>#REF!</f>
        <v>#REF!</v>
      </c>
      <c r="R20" s="11" t="e">
        <f>#REF!</f>
        <v>#REF!</v>
      </c>
      <c r="S20" s="11" t="e">
        <f>#REF!</f>
        <v>#REF!</v>
      </c>
      <c r="T20" s="11" t="e">
        <f>#REF!</f>
        <v>#REF!</v>
      </c>
      <c r="U20" s="11" t="e">
        <f>#REF!</f>
        <v>#REF!</v>
      </c>
      <c r="V20" s="11" t="e">
        <f>#REF!</f>
        <v>#REF!</v>
      </c>
      <c r="W20" s="11" t="e">
        <f>#REF!</f>
        <v>#REF!</v>
      </c>
      <c r="X20" s="11" t="e">
        <f>#REF!</f>
        <v>#REF!</v>
      </c>
      <c r="Y20" s="11" t="e">
        <f>#REF!</f>
        <v>#REF!</v>
      </c>
      <c r="Z20" s="5" t="e">
        <f t="shared" si="19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20"/>
        <v>0</v>
      </c>
      <c r="AO20" s="15">
        <f t="shared" si="21"/>
        <v>0</v>
      </c>
      <c r="AP20" s="15">
        <f t="shared" si="22"/>
        <v>0</v>
      </c>
      <c r="AQ20" s="15">
        <f t="shared" si="23"/>
        <v>0</v>
      </c>
      <c r="AR20" s="15">
        <f t="shared" si="24"/>
        <v>0</v>
      </c>
      <c r="AS20" s="15">
        <f t="shared" si="25"/>
        <v>0</v>
      </c>
      <c r="AT20" s="15">
        <f t="shared" si="26"/>
        <v>0</v>
      </c>
      <c r="AU20" s="15">
        <f t="shared" si="27"/>
        <v>0</v>
      </c>
      <c r="AV20" s="5"/>
      <c r="AW20" s="14">
        <v>15</v>
      </c>
      <c r="AX20" s="15">
        <f t="shared" si="28"/>
        <v>0</v>
      </c>
      <c r="AY20" s="19">
        <f t="shared" si="49"/>
        <v>0</v>
      </c>
      <c r="AZ20" s="19">
        <f t="shared" si="29"/>
        <v>0</v>
      </c>
      <c r="BA20" s="15">
        <f t="shared" si="30"/>
        <v>0</v>
      </c>
      <c r="BB20" s="19">
        <f t="shared" si="31"/>
        <v>0</v>
      </c>
      <c r="BC20" s="19">
        <f t="shared" si="32"/>
        <v>0</v>
      </c>
      <c r="BD20" s="19">
        <f t="shared" si="33"/>
        <v>0</v>
      </c>
      <c r="BE20" s="15">
        <f t="shared" si="34"/>
        <v>0</v>
      </c>
      <c r="BF20" s="15">
        <f t="shared" si="35"/>
        <v>0</v>
      </c>
      <c r="BG20" s="5"/>
      <c r="BH20" s="5"/>
      <c r="BI20" s="14">
        <v>15</v>
      </c>
      <c r="BJ20" s="15">
        <f t="shared" si="36"/>
        <v>0</v>
      </c>
      <c r="BK20" s="24">
        <f t="shared" si="37"/>
        <v>0</v>
      </c>
      <c r="BL20" s="19">
        <f t="shared" si="38"/>
        <v>0</v>
      </c>
      <c r="BM20" s="15">
        <f t="shared" si="39"/>
        <v>0</v>
      </c>
      <c r="BN20" s="19">
        <f t="shared" si="40"/>
        <v>0</v>
      </c>
      <c r="BO20" s="19">
        <f t="shared" si="41"/>
        <v>0</v>
      </c>
      <c r="BP20" s="19">
        <f t="shared" si="42"/>
        <v>0</v>
      </c>
      <c r="BQ20" s="15">
        <f t="shared" si="43"/>
        <v>0</v>
      </c>
      <c r="BR20" s="15">
        <f t="shared" si="44"/>
        <v>0</v>
      </c>
      <c r="BS20" s="5"/>
      <c r="BT20" s="5"/>
      <c r="BU20" s="5"/>
      <c r="BV20" s="5"/>
      <c r="BW20" s="5"/>
      <c r="BX20" s="4"/>
      <c r="BY20" s="11" t="e">
        <f t="shared" si="45"/>
        <v>#REF!</v>
      </c>
      <c r="BZ20" s="11" t="e">
        <f t="shared" si="1"/>
        <v>#REF!</v>
      </c>
      <c r="CA20" s="11" t="e">
        <f t="shared" si="46"/>
        <v>#REF!</v>
      </c>
      <c r="CB20" s="11" t="e">
        <f t="shared" si="2"/>
        <v>#REF!</v>
      </c>
      <c r="CC20" s="11" t="e">
        <f t="shared" si="3"/>
        <v>#REF!</v>
      </c>
      <c r="CD20" s="11" t="e">
        <f t="shared" si="4"/>
        <v>#REF!</v>
      </c>
      <c r="CE20" s="11" t="e">
        <f t="shared" si="5"/>
        <v>#REF!</v>
      </c>
      <c r="CF20" s="11" t="e">
        <f t="shared" si="6"/>
        <v>#REF!</v>
      </c>
      <c r="CG20" s="11" t="e">
        <f t="shared" si="7"/>
        <v>#REF!</v>
      </c>
      <c r="CH20" s="11" t="e">
        <f t="shared" si="8"/>
        <v>#REF!</v>
      </c>
      <c r="CI20" s="5"/>
      <c r="CJ20" s="19" t="e">
        <f t="shared" si="47"/>
        <v>#REF!</v>
      </c>
      <c r="CK20" s="21">
        <v>15</v>
      </c>
      <c r="CL20" s="5" t="e">
        <f t="shared" si="9"/>
        <v>#REF!</v>
      </c>
      <c r="CM20" s="4"/>
      <c r="CN20" s="21">
        <v>15</v>
      </c>
      <c r="CO20" s="5" t="e">
        <f t="shared" si="48"/>
        <v>#REF!</v>
      </c>
    </row>
    <row r="21" spans="2:93" x14ac:dyDescent="0.25">
      <c r="B21" s="11" t="s">
        <v>46</v>
      </c>
      <c r="C21" s="11" t="e">
        <f t="shared" si="10"/>
        <v>#REF!</v>
      </c>
      <c r="D21" s="11" t="e">
        <f t="shared" si="11"/>
        <v>#REF!</v>
      </c>
      <c r="E21" s="11" t="e">
        <f t="shared" si="12"/>
        <v>#REF!</v>
      </c>
      <c r="F21" s="11" t="e">
        <f t="shared" si="13"/>
        <v>#REF!</v>
      </c>
      <c r="G21" s="11" t="e">
        <f t="shared" si="14"/>
        <v>#REF!</v>
      </c>
      <c r="H21" s="11" t="e">
        <f t="shared" si="15"/>
        <v>#REF!</v>
      </c>
      <c r="I21" s="11" t="e">
        <f t="shared" si="16"/>
        <v>#REF!</v>
      </c>
      <c r="J21" s="11" t="e">
        <f t="shared" si="17"/>
        <v>#REF!</v>
      </c>
      <c r="K21" s="11" t="e">
        <f t="shared" si="18"/>
        <v>#REF!</v>
      </c>
      <c r="L21" s="4"/>
      <c r="M21" s="4"/>
      <c r="N21" s="4"/>
      <c r="O21" s="4"/>
      <c r="P21" s="11" t="e">
        <f>#REF!</f>
        <v>#REF!</v>
      </c>
      <c r="Q21" s="11" t="e">
        <f>#REF!</f>
        <v>#REF!</v>
      </c>
      <c r="R21" s="11" t="e">
        <f>#REF!</f>
        <v>#REF!</v>
      </c>
      <c r="S21" s="11" t="e">
        <f>#REF!</f>
        <v>#REF!</v>
      </c>
      <c r="T21" s="11" t="e">
        <f>#REF!</f>
        <v>#REF!</v>
      </c>
      <c r="U21" s="11" t="e">
        <f>#REF!</f>
        <v>#REF!</v>
      </c>
      <c r="V21" s="11" t="e">
        <f>#REF!</f>
        <v>#REF!</v>
      </c>
      <c r="W21" s="11" t="e">
        <f>#REF!</f>
        <v>#REF!</v>
      </c>
      <c r="X21" s="11" t="e">
        <f>#REF!</f>
        <v>#REF!</v>
      </c>
      <c r="Y21" s="11" t="e">
        <f>#REF!</f>
        <v>#REF!</v>
      </c>
      <c r="Z21" s="5" t="e">
        <f t="shared" si="19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20"/>
        <v>0</v>
      </c>
      <c r="AO21" s="15">
        <f t="shared" si="21"/>
        <v>0</v>
      </c>
      <c r="AP21" s="15">
        <f t="shared" si="22"/>
        <v>0</v>
      </c>
      <c r="AQ21" s="15">
        <f t="shared" si="23"/>
        <v>0</v>
      </c>
      <c r="AR21" s="15">
        <f t="shared" si="24"/>
        <v>0</v>
      </c>
      <c r="AS21" s="15">
        <f t="shared" si="25"/>
        <v>0</v>
      </c>
      <c r="AT21" s="15">
        <f t="shared" si="26"/>
        <v>0</v>
      </c>
      <c r="AU21" s="15">
        <f t="shared" si="27"/>
        <v>0</v>
      </c>
      <c r="AV21" s="5"/>
      <c r="AW21" s="14">
        <v>16</v>
      </c>
      <c r="AX21" s="15">
        <f t="shared" si="28"/>
        <v>0</v>
      </c>
      <c r="AY21" s="19">
        <f t="shared" si="49"/>
        <v>0</v>
      </c>
      <c r="AZ21" s="19">
        <f t="shared" si="29"/>
        <v>0</v>
      </c>
      <c r="BA21" s="15">
        <f t="shared" si="30"/>
        <v>0</v>
      </c>
      <c r="BB21" s="19">
        <f t="shared" si="31"/>
        <v>0</v>
      </c>
      <c r="BC21" s="19">
        <f t="shared" si="32"/>
        <v>0</v>
      </c>
      <c r="BD21" s="19">
        <f t="shared" si="33"/>
        <v>0</v>
      </c>
      <c r="BE21" s="15">
        <f t="shared" si="34"/>
        <v>0</v>
      </c>
      <c r="BF21" s="15">
        <f t="shared" si="35"/>
        <v>0</v>
      </c>
      <c r="BG21" s="5"/>
      <c r="BH21" s="5"/>
      <c r="BI21" s="14">
        <v>16</v>
      </c>
      <c r="BJ21" s="15">
        <f t="shared" si="36"/>
        <v>0</v>
      </c>
      <c r="BK21" s="24">
        <f t="shared" si="37"/>
        <v>0</v>
      </c>
      <c r="BL21" s="19">
        <f t="shared" si="38"/>
        <v>0</v>
      </c>
      <c r="BM21" s="15">
        <f t="shared" si="39"/>
        <v>0</v>
      </c>
      <c r="BN21" s="19">
        <f t="shared" si="40"/>
        <v>0</v>
      </c>
      <c r="BO21" s="19">
        <f t="shared" si="41"/>
        <v>0</v>
      </c>
      <c r="BP21" s="19">
        <f t="shared" si="42"/>
        <v>0</v>
      </c>
      <c r="BQ21" s="15">
        <f t="shared" si="43"/>
        <v>0</v>
      </c>
      <c r="BR21" s="15">
        <f t="shared" si="44"/>
        <v>0</v>
      </c>
      <c r="BS21" s="5"/>
      <c r="BT21" s="5"/>
      <c r="BU21" s="5"/>
      <c r="BV21" s="5"/>
      <c r="BW21" s="5"/>
      <c r="BX21" s="4"/>
      <c r="BY21" s="11" t="e">
        <f t="shared" si="45"/>
        <v>#REF!</v>
      </c>
      <c r="BZ21" s="11" t="e">
        <f t="shared" si="1"/>
        <v>#REF!</v>
      </c>
      <c r="CA21" s="11" t="e">
        <f t="shared" si="46"/>
        <v>#REF!</v>
      </c>
      <c r="CB21" s="11" t="e">
        <f t="shared" si="2"/>
        <v>#REF!</v>
      </c>
      <c r="CC21" s="11" t="e">
        <f t="shared" si="3"/>
        <v>#REF!</v>
      </c>
      <c r="CD21" s="11" t="e">
        <f t="shared" si="4"/>
        <v>#REF!</v>
      </c>
      <c r="CE21" s="11" t="e">
        <f t="shared" si="5"/>
        <v>#REF!</v>
      </c>
      <c r="CF21" s="11" t="e">
        <f t="shared" si="6"/>
        <v>#REF!</v>
      </c>
      <c r="CG21" s="11" t="e">
        <f t="shared" si="7"/>
        <v>#REF!</v>
      </c>
      <c r="CH21" s="11" t="e">
        <f t="shared" si="8"/>
        <v>#REF!</v>
      </c>
      <c r="CI21" s="5"/>
      <c r="CJ21" s="19" t="e">
        <f t="shared" si="47"/>
        <v>#REF!</v>
      </c>
      <c r="CK21" s="21">
        <v>16</v>
      </c>
      <c r="CL21" s="5" t="e">
        <f t="shared" si="9"/>
        <v>#REF!</v>
      </c>
      <c r="CM21" s="4"/>
      <c r="CN21" s="21">
        <v>16</v>
      </c>
      <c r="CO21" s="5" t="e">
        <f t="shared" si="48"/>
        <v>#REF!</v>
      </c>
    </row>
    <row r="22" spans="2:93" x14ac:dyDescent="0.25">
      <c r="B22" s="18" t="s">
        <v>47</v>
      </c>
      <c r="C22" s="18" t="e">
        <f t="shared" si="10"/>
        <v>#REF!</v>
      </c>
      <c r="D22" s="18" t="e">
        <f t="shared" si="11"/>
        <v>#REF!</v>
      </c>
      <c r="E22" s="18" t="e">
        <f t="shared" si="12"/>
        <v>#REF!</v>
      </c>
      <c r="F22" s="18" t="e">
        <f t="shared" si="13"/>
        <v>#REF!</v>
      </c>
      <c r="G22" s="18" t="e">
        <f t="shared" si="14"/>
        <v>#REF!</v>
      </c>
      <c r="H22" s="18" t="e">
        <f t="shared" si="15"/>
        <v>#REF!</v>
      </c>
      <c r="I22" s="18" t="e">
        <f t="shared" si="16"/>
        <v>#REF!</v>
      </c>
      <c r="J22" s="18" t="e">
        <f t="shared" si="17"/>
        <v>#REF!</v>
      </c>
      <c r="K22" s="18" t="e">
        <f t="shared" si="18"/>
        <v>#REF!</v>
      </c>
      <c r="L22" s="4"/>
      <c r="M22" s="4"/>
      <c r="N22" s="4"/>
      <c r="O22" s="4"/>
      <c r="P22" s="11" t="e">
        <f>#REF!</f>
        <v>#REF!</v>
      </c>
      <c r="Q22" s="11" t="e">
        <f>#REF!</f>
        <v>#REF!</v>
      </c>
      <c r="R22" s="11" t="e">
        <f>#REF!</f>
        <v>#REF!</v>
      </c>
      <c r="S22" s="11" t="e">
        <f>#REF!</f>
        <v>#REF!</v>
      </c>
      <c r="T22" s="11" t="e">
        <f>#REF!</f>
        <v>#REF!</v>
      </c>
      <c r="U22" s="11" t="e">
        <f>#REF!</f>
        <v>#REF!</v>
      </c>
      <c r="V22" s="11" t="e">
        <f>#REF!</f>
        <v>#REF!</v>
      </c>
      <c r="W22" s="11" t="e">
        <f>#REF!</f>
        <v>#REF!</v>
      </c>
      <c r="X22" s="11" t="e">
        <f>#REF!</f>
        <v>#REF!</v>
      </c>
      <c r="Y22" s="11" t="e">
        <f>#REF!</f>
        <v>#REF!</v>
      </c>
      <c r="Z22" s="5" t="e">
        <f t="shared" si="19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20"/>
        <v>0</v>
      </c>
      <c r="AO22" s="15">
        <f t="shared" si="21"/>
        <v>0</v>
      </c>
      <c r="AP22" s="15">
        <f t="shared" si="22"/>
        <v>0</v>
      </c>
      <c r="AQ22" s="15">
        <f t="shared" si="23"/>
        <v>0</v>
      </c>
      <c r="AR22" s="15">
        <f t="shared" si="24"/>
        <v>0</v>
      </c>
      <c r="AS22" s="15">
        <f t="shared" si="25"/>
        <v>0</v>
      </c>
      <c r="AT22" s="15">
        <f t="shared" si="26"/>
        <v>0</v>
      </c>
      <c r="AU22" s="15">
        <f t="shared" si="27"/>
        <v>0</v>
      </c>
      <c r="AV22" s="5"/>
      <c r="AW22" s="14">
        <v>17</v>
      </c>
      <c r="AX22" s="15">
        <f t="shared" si="28"/>
        <v>0</v>
      </c>
      <c r="AY22" s="19">
        <f t="shared" si="49"/>
        <v>0</v>
      </c>
      <c r="AZ22" s="19">
        <f t="shared" si="29"/>
        <v>0</v>
      </c>
      <c r="BA22" s="15">
        <f t="shared" si="30"/>
        <v>0</v>
      </c>
      <c r="BB22" s="19">
        <f t="shared" si="31"/>
        <v>0</v>
      </c>
      <c r="BC22" s="19">
        <f t="shared" si="32"/>
        <v>0</v>
      </c>
      <c r="BD22" s="19">
        <f t="shared" si="33"/>
        <v>0</v>
      </c>
      <c r="BE22" s="15">
        <f t="shared" si="34"/>
        <v>0</v>
      </c>
      <c r="BF22" s="15">
        <f t="shared" si="35"/>
        <v>0</v>
      </c>
      <c r="BG22" s="5"/>
      <c r="BH22" s="5"/>
      <c r="BI22" s="14">
        <v>17</v>
      </c>
      <c r="BJ22" s="15">
        <f t="shared" si="36"/>
        <v>0</v>
      </c>
      <c r="BK22" s="24">
        <f t="shared" si="37"/>
        <v>0</v>
      </c>
      <c r="BL22" s="19">
        <f t="shared" si="38"/>
        <v>0</v>
      </c>
      <c r="BM22" s="15">
        <f t="shared" si="39"/>
        <v>0</v>
      </c>
      <c r="BN22" s="19">
        <f t="shared" si="40"/>
        <v>0</v>
      </c>
      <c r="BO22" s="19">
        <f t="shared" si="41"/>
        <v>0</v>
      </c>
      <c r="BP22" s="19">
        <f t="shared" si="42"/>
        <v>0</v>
      </c>
      <c r="BQ22" s="15">
        <f t="shared" si="43"/>
        <v>0</v>
      </c>
      <c r="BR22" s="15">
        <f t="shared" si="44"/>
        <v>0</v>
      </c>
      <c r="BS22" s="5"/>
      <c r="BT22" s="5"/>
      <c r="BU22" s="5"/>
      <c r="BV22" s="5"/>
      <c r="BW22" s="5"/>
      <c r="BX22" s="4"/>
      <c r="BY22" s="11" t="e">
        <f t="shared" si="45"/>
        <v>#REF!</v>
      </c>
      <c r="BZ22" s="11" t="e">
        <f t="shared" si="1"/>
        <v>#REF!</v>
      </c>
      <c r="CA22" s="11" t="e">
        <f t="shared" si="46"/>
        <v>#REF!</v>
      </c>
      <c r="CB22" s="11" t="e">
        <f t="shared" si="2"/>
        <v>#REF!</v>
      </c>
      <c r="CC22" s="11" t="e">
        <f t="shared" si="3"/>
        <v>#REF!</v>
      </c>
      <c r="CD22" s="11" t="e">
        <f t="shared" si="4"/>
        <v>#REF!</v>
      </c>
      <c r="CE22" s="11" t="e">
        <f t="shared" si="5"/>
        <v>#REF!</v>
      </c>
      <c r="CF22" s="11" t="e">
        <f t="shared" si="6"/>
        <v>#REF!</v>
      </c>
      <c r="CG22" s="11" t="e">
        <f t="shared" si="7"/>
        <v>#REF!</v>
      </c>
      <c r="CH22" s="11" t="e">
        <f t="shared" si="8"/>
        <v>#REF!</v>
      </c>
      <c r="CI22" s="5"/>
      <c r="CJ22" s="19" t="e">
        <f t="shared" si="47"/>
        <v>#REF!</v>
      </c>
      <c r="CK22" s="21">
        <v>17</v>
      </c>
      <c r="CL22" s="5" t="e">
        <f t="shared" si="9"/>
        <v>#REF!</v>
      </c>
      <c r="CM22" s="4"/>
      <c r="CN22" s="21">
        <v>17</v>
      </c>
      <c r="CO22" s="5" t="e">
        <f t="shared" si="48"/>
        <v>#REF!</v>
      </c>
    </row>
    <row r="23" spans="2:93" x14ac:dyDescent="0.25">
      <c r="B23" s="11" t="s">
        <v>48</v>
      </c>
      <c r="C23" s="11" t="e">
        <f t="shared" si="10"/>
        <v>#REF!</v>
      </c>
      <c r="D23" s="11" t="e">
        <f t="shared" si="11"/>
        <v>#REF!</v>
      </c>
      <c r="E23" s="11" t="e">
        <f t="shared" si="12"/>
        <v>#REF!</v>
      </c>
      <c r="F23" s="11" t="e">
        <f t="shared" si="13"/>
        <v>#REF!</v>
      </c>
      <c r="G23" s="11" t="e">
        <f t="shared" si="14"/>
        <v>#REF!</v>
      </c>
      <c r="H23" s="11" t="e">
        <f t="shared" si="15"/>
        <v>#REF!</v>
      </c>
      <c r="I23" s="11" t="e">
        <f t="shared" si="16"/>
        <v>#REF!</v>
      </c>
      <c r="J23" s="11" t="e">
        <f t="shared" si="17"/>
        <v>#REF!</v>
      </c>
      <c r="K23" s="11" t="e">
        <f t="shared" si="18"/>
        <v>#REF!</v>
      </c>
      <c r="L23" s="4"/>
      <c r="M23" s="4"/>
      <c r="N23" s="4"/>
      <c r="O23" s="4"/>
      <c r="P23" s="11" t="e">
        <f>#REF!</f>
        <v>#REF!</v>
      </c>
      <c r="Q23" s="11" t="e">
        <f>#REF!</f>
        <v>#REF!</v>
      </c>
      <c r="R23" s="11" t="e">
        <f>#REF!</f>
        <v>#REF!</v>
      </c>
      <c r="S23" s="11" t="e">
        <f>#REF!</f>
        <v>#REF!</v>
      </c>
      <c r="T23" s="11" t="e">
        <f>#REF!</f>
        <v>#REF!</v>
      </c>
      <c r="U23" s="11" t="e">
        <f>#REF!</f>
        <v>#REF!</v>
      </c>
      <c r="V23" s="11" t="e">
        <f>#REF!</f>
        <v>#REF!</v>
      </c>
      <c r="W23" s="11" t="e">
        <f>#REF!</f>
        <v>#REF!</v>
      </c>
      <c r="X23" s="11" t="e">
        <f>#REF!</f>
        <v>#REF!</v>
      </c>
      <c r="Y23" s="11" t="e">
        <f>#REF!</f>
        <v>#REF!</v>
      </c>
      <c r="Z23" s="5" t="e">
        <f t="shared" si="19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20"/>
        <v>0</v>
      </c>
      <c r="AO23" s="15">
        <f t="shared" si="21"/>
        <v>0</v>
      </c>
      <c r="AP23" s="15">
        <f t="shared" si="22"/>
        <v>0</v>
      </c>
      <c r="AQ23" s="15">
        <f t="shared" si="23"/>
        <v>0</v>
      </c>
      <c r="AR23" s="15">
        <f t="shared" si="24"/>
        <v>0</v>
      </c>
      <c r="AS23" s="15">
        <f t="shared" si="25"/>
        <v>0</v>
      </c>
      <c r="AT23" s="15">
        <f t="shared" si="26"/>
        <v>0</v>
      </c>
      <c r="AU23" s="15">
        <f t="shared" si="27"/>
        <v>0</v>
      </c>
      <c r="AV23" s="5"/>
      <c r="AW23" s="14">
        <v>18</v>
      </c>
      <c r="AX23" s="15">
        <f t="shared" si="28"/>
        <v>0</v>
      </c>
      <c r="AY23" s="19">
        <f t="shared" si="49"/>
        <v>0</v>
      </c>
      <c r="AZ23" s="19">
        <f t="shared" si="29"/>
        <v>0</v>
      </c>
      <c r="BA23" s="15">
        <f t="shared" si="30"/>
        <v>0</v>
      </c>
      <c r="BB23" s="19">
        <f t="shared" si="31"/>
        <v>0</v>
      </c>
      <c r="BC23" s="19">
        <f t="shared" si="32"/>
        <v>0</v>
      </c>
      <c r="BD23" s="19">
        <f t="shared" si="33"/>
        <v>0</v>
      </c>
      <c r="BE23" s="15">
        <f t="shared" si="34"/>
        <v>0</v>
      </c>
      <c r="BF23" s="15">
        <f t="shared" si="35"/>
        <v>0</v>
      </c>
      <c r="BG23" s="5"/>
      <c r="BH23" s="5"/>
      <c r="BI23" s="14">
        <v>18</v>
      </c>
      <c r="BJ23" s="15">
        <f t="shared" si="36"/>
        <v>0</v>
      </c>
      <c r="BK23" s="24">
        <f t="shared" si="37"/>
        <v>0</v>
      </c>
      <c r="BL23" s="19">
        <f t="shared" si="38"/>
        <v>0</v>
      </c>
      <c r="BM23" s="15">
        <f t="shared" si="39"/>
        <v>0</v>
      </c>
      <c r="BN23" s="19">
        <f t="shared" si="40"/>
        <v>0</v>
      </c>
      <c r="BO23" s="19">
        <f t="shared" si="41"/>
        <v>0</v>
      </c>
      <c r="BP23" s="19">
        <f t="shared" si="42"/>
        <v>0</v>
      </c>
      <c r="BQ23" s="15">
        <f t="shared" si="43"/>
        <v>0</v>
      </c>
      <c r="BR23" s="15">
        <f t="shared" si="44"/>
        <v>0</v>
      </c>
      <c r="BS23" s="5"/>
      <c r="BT23" s="5"/>
      <c r="BU23" s="5"/>
      <c r="BV23" s="5"/>
      <c r="BW23" s="5"/>
      <c r="BX23" s="4"/>
      <c r="BY23" s="11" t="e">
        <f t="shared" si="45"/>
        <v>#REF!</v>
      </c>
      <c r="BZ23" s="11" t="e">
        <f t="shared" si="1"/>
        <v>#REF!</v>
      </c>
      <c r="CA23" s="11" t="e">
        <f t="shared" si="46"/>
        <v>#REF!</v>
      </c>
      <c r="CB23" s="11" t="e">
        <f t="shared" si="2"/>
        <v>#REF!</v>
      </c>
      <c r="CC23" s="11" t="e">
        <f t="shared" si="3"/>
        <v>#REF!</v>
      </c>
      <c r="CD23" s="11" t="e">
        <f t="shared" si="4"/>
        <v>#REF!</v>
      </c>
      <c r="CE23" s="11" t="e">
        <f t="shared" si="5"/>
        <v>#REF!</v>
      </c>
      <c r="CF23" s="11" t="e">
        <f t="shared" si="6"/>
        <v>#REF!</v>
      </c>
      <c r="CG23" s="11" t="e">
        <f t="shared" si="7"/>
        <v>#REF!</v>
      </c>
      <c r="CH23" s="11" t="e">
        <f t="shared" si="8"/>
        <v>#REF!</v>
      </c>
      <c r="CI23" s="5"/>
      <c r="CJ23" s="19" t="e">
        <f t="shared" si="47"/>
        <v>#REF!</v>
      </c>
      <c r="CK23" s="21">
        <v>18</v>
      </c>
      <c r="CL23" s="5" t="e">
        <f t="shared" si="9"/>
        <v>#REF!</v>
      </c>
      <c r="CM23" s="4"/>
      <c r="CN23" s="21">
        <v>18</v>
      </c>
      <c r="CO23" s="5" t="e">
        <f t="shared" si="48"/>
        <v>#REF!</v>
      </c>
    </row>
    <row r="24" spans="2:93" ht="30.75" customHeight="1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51" t="s">
        <v>49</v>
      </c>
      <c r="BJ24" s="151"/>
      <c r="BK24" s="151"/>
      <c r="BL24" s="151"/>
      <c r="BM24" s="151"/>
      <c r="BN24" s="151"/>
      <c r="BO24" s="151"/>
      <c r="BP24" s="151"/>
      <c r="BQ24" s="151"/>
      <c r="BR24" s="151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#REF!</f>
        <v>#REF!</v>
      </c>
      <c r="AX26" s="19" t="e">
        <f>#REF!</f>
        <v>#REF!</v>
      </c>
      <c r="AY26" s="19" t="e">
        <f>#REF!</f>
        <v>#REF!</v>
      </c>
      <c r="AZ26" s="19" t="e">
        <f>#REF!</f>
        <v>#REF!</v>
      </c>
      <c r="BA26" s="19" t="e">
        <f>#REF!</f>
        <v>#REF!</v>
      </c>
      <c r="BB26" s="19" t="e">
        <f>#REF!</f>
        <v>#REF!</v>
      </c>
      <c r="BC26" s="19" t="e">
        <f>#REF!</f>
        <v>#REF!</v>
      </c>
      <c r="BD26" s="19" t="e">
        <f>#REF!</f>
        <v>#REF!</v>
      </c>
      <c r="BE26" s="19" t="e">
        <f>#REF!</f>
        <v>#REF!</v>
      </c>
      <c r="BF26" s="19" t="e">
        <f>#REF!</f>
        <v>#REF!</v>
      </c>
      <c r="BG26" s="4"/>
      <c r="BH26" s="4"/>
      <c r="BI26" s="19" t="e">
        <f>#REF!</f>
        <v>#REF!</v>
      </c>
      <c r="BJ26" s="19" t="e">
        <f>#REF!</f>
        <v>#REF!</v>
      </c>
      <c r="BK26" s="19" t="e">
        <f>#REF!</f>
        <v>#REF!</v>
      </c>
      <c r="BL26" s="19" t="e">
        <f>#REF!</f>
        <v>#REF!</v>
      </c>
      <c r="BM26" s="19" t="e">
        <f>#REF!</f>
        <v>#REF!</v>
      </c>
      <c r="BN26" s="19" t="e">
        <f>#REF!</f>
        <v>#REF!</v>
      </c>
      <c r="BO26" s="19" t="e">
        <f>#REF!</f>
        <v>#REF!</v>
      </c>
      <c r="BP26" s="19" t="e">
        <f>#REF!</f>
        <v>#REF!</v>
      </c>
      <c r="BQ26" s="19" t="e">
        <f>#REF!</f>
        <v>#REF!</v>
      </c>
      <c r="BR26" s="19" t="e">
        <f>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#REF!</f>
        <v>#REF!</v>
      </c>
      <c r="AM27" s="19" t="e">
        <f>#REF!</f>
        <v>#REF!</v>
      </c>
      <c r="AN27" s="19" t="e">
        <f>#REF!</f>
        <v>#REF!</v>
      </c>
      <c r="AO27" s="19" t="e">
        <f>#REF!</f>
        <v>#REF!</v>
      </c>
      <c r="AP27" s="19" t="e">
        <f>#REF!</f>
        <v>#REF!</v>
      </c>
      <c r="AQ27" s="19" t="e">
        <f>#REF!</f>
        <v>#REF!</v>
      </c>
      <c r="AR27" s="19" t="e">
        <f>#REF!</f>
        <v>#REF!</v>
      </c>
      <c r="AS27" s="19" t="e">
        <f>#REF!</f>
        <v>#REF!</v>
      </c>
      <c r="AT27" s="19" t="e">
        <f>#REF!</f>
        <v>#REF!</v>
      </c>
      <c r="AU27" s="19" t="e">
        <f>#REF!</f>
        <v>#REF!</v>
      </c>
      <c r="AV27" s="4"/>
      <c r="AW27" s="19" t="e">
        <f>#REF!</f>
        <v>#REF!</v>
      </c>
      <c r="AX27" s="19" t="e">
        <f>#REF!</f>
        <v>#REF!</v>
      </c>
      <c r="AY27" s="19" t="e">
        <f>#REF!</f>
        <v>#REF!</v>
      </c>
      <c r="AZ27" s="19" t="e">
        <f>#REF!</f>
        <v>#REF!</v>
      </c>
      <c r="BA27" s="19" t="e">
        <f>#REF!</f>
        <v>#REF!</v>
      </c>
      <c r="BB27" s="19" t="e">
        <f>#REF!</f>
        <v>#REF!</v>
      </c>
      <c r="BC27" s="19" t="e">
        <f>#REF!</f>
        <v>#REF!</v>
      </c>
      <c r="BD27" s="19" t="e">
        <f>#REF!</f>
        <v>#REF!</v>
      </c>
      <c r="BE27" s="19" t="e">
        <f>#REF!</f>
        <v>#REF!</v>
      </c>
      <c r="BF27" s="19" t="e">
        <f>#REF!</f>
        <v>#REF!</v>
      </c>
      <c r="BG27" s="4"/>
      <c r="BH27" s="4"/>
      <c r="BI27" s="19" t="e">
        <f>#REF!</f>
        <v>#REF!</v>
      </c>
      <c r="BJ27" s="19" t="e">
        <f>#REF!</f>
        <v>#REF!</v>
      </c>
      <c r="BK27" s="19" t="e">
        <f>#REF!</f>
        <v>#REF!</v>
      </c>
      <c r="BL27" s="19" t="e">
        <f>#REF!</f>
        <v>#REF!</v>
      </c>
      <c r="BM27" s="19" t="e">
        <f>#REF!</f>
        <v>#REF!</v>
      </c>
      <c r="BN27" s="19" t="e">
        <f>#REF!</f>
        <v>#REF!</v>
      </c>
      <c r="BO27" s="19" t="e">
        <f>#REF!</f>
        <v>#REF!</v>
      </c>
      <c r="BP27" s="19" t="e">
        <f>#REF!</f>
        <v>#REF!</v>
      </c>
      <c r="BQ27" s="19" t="e">
        <f>#REF!</f>
        <v>#REF!</v>
      </c>
      <c r="BR27" s="19" t="e">
        <f>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#REF!</f>
        <v>#REF!</v>
      </c>
      <c r="AM28" s="19" t="e">
        <f>#REF!</f>
        <v>#REF!</v>
      </c>
      <c r="AN28" s="19" t="e">
        <f>#REF!</f>
        <v>#REF!</v>
      </c>
      <c r="AO28" s="19" t="e">
        <f>#REF!</f>
        <v>#REF!</v>
      </c>
      <c r="AP28" s="19" t="e">
        <f>#REF!</f>
        <v>#REF!</v>
      </c>
      <c r="AQ28" s="19" t="e">
        <f>#REF!</f>
        <v>#REF!</v>
      </c>
      <c r="AR28" s="19" t="e">
        <f>#REF!</f>
        <v>#REF!</v>
      </c>
      <c r="AS28" s="19" t="e">
        <f>#REF!</f>
        <v>#REF!</v>
      </c>
      <c r="AT28" s="19" t="e">
        <f>#REF!</f>
        <v>#REF!</v>
      </c>
      <c r="AU28" s="19" t="e">
        <f>#REF!</f>
        <v>#REF!</v>
      </c>
      <c r="AV28" s="4"/>
      <c r="AW28" s="19" t="e">
        <f>#REF!</f>
        <v>#REF!</v>
      </c>
      <c r="AX28" s="19" t="e">
        <f>#REF!</f>
        <v>#REF!</v>
      </c>
      <c r="AY28" s="19" t="e">
        <f>#REF!</f>
        <v>#REF!</v>
      </c>
      <c r="AZ28" s="19" t="e">
        <f>#REF!</f>
        <v>#REF!</v>
      </c>
      <c r="BA28" s="19" t="e">
        <f>#REF!</f>
        <v>#REF!</v>
      </c>
      <c r="BB28" s="19" t="e">
        <f>#REF!</f>
        <v>#REF!</v>
      </c>
      <c r="BC28" s="19" t="e">
        <f>#REF!</f>
        <v>#REF!</v>
      </c>
      <c r="BD28" s="19" t="e">
        <f>#REF!</f>
        <v>#REF!</v>
      </c>
      <c r="BE28" s="19" t="e">
        <f>#REF!</f>
        <v>#REF!</v>
      </c>
      <c r="BF28" s="19" t="e">
        <f>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#REF!</f>
        <v>#REF!</v>
      </c>
      <c r="AM29" s="19" t="e">
        <f>#REF!</f>
        <v>#REF!</v>
      </c>
      <c r="AN29" s="19" t="e">
        <f>#REF!</f>
        <v>#REF!</v>
      </c>
      <c r="AO29" s="19" t="e">
        <f>#REF!</f>
        <v>#REF!</v>
      </c>
      <c r="AP29" s="19" t="e">
        <f>#REF!</f>
        <v>#REF!</v>
      </c>
      <c r="AQ29" s="19" t="e">
        <f>#REF!</f>
        <v>#REF!</v>
      </c>
      <c r="AR29" s="19" t="e">
        <f>#REF!</f>
        <v>#REF!</v>
      </c>
      <c r="AS29" s="19" t="e">
        <f>#REF!</f>
        <v>#REF!</v>
      </c>
      <c r="AT29" s="19" t="e">
        <f>#REF!</f>
        <v>#REF!</v>
      </c>
      <c r="AU29" s="19" t="e">
        <f>#REF!</f>
        <v>#REF!</v>
      </c>
      <c r="AV29" s="4"/>
      <c r="AW29" s="19" t="e">
        <f>#REF!</f>
        <v>#REF!</v>
      </c>
      <c r="AX29" s="19" t="e">
        <f>#REF!</f>
        <v>#REF!</v>
      </c>
      <c r="AY29" s="19" t="e">
        <f>#REF!</f>
        <v>#REF!</v>
      </c>
      <c r="AZ29" s="19" t="e">
        <f>#REF!</f>
        <v>#REF!</v>
      </c>
      <c r="BA29" s="19" t="e">
        <f>#REF!</f>
        <v>#REF!</v>
      </c>
      <c r="BB29" s="19" t="e">
        <f>#REF!</f>
        <v>#REF!</v>
      </c>
      <c r="BC29" s="19" t="e">
        <f>#REF!</f>
        <v>#REF!</v>
      </c>
      <c r="BD29" s="19" t="e">
        <f>#REF!</f>
        <v>#REF!</v>
      </c>
      <c r="BE29" s="19" t="e">
        <f>#REF!</f>
        <v>#REF!</v>
      </c>
      <c r="BF29" s="19" t="e">
        <f>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#REF!</f>
        <v>#REF!</v>
      </c>
      <c r="AM30" s="19" t="e">
        <f>#REF!</f>
        <v>#REF!</v>
      </c>
      <c r="AN30" s="19" t="e">
        <f>#REF!</f>
        <v>#REF!</v>
      </c>
      <c r="AO30" s="19" t="e">
        <f>#REF!</f>
        <v>#REF!</v>
      </c>
      <c r="AP30" s="19" t="e">
        <f>#REF!</f>
        <v>#REF!</v>
      </c>
      <c r="AQ30" s="19" t="e">
        <f>#REF!</f>
        <v>#REF!</v>
      </c>
      <c r="AR30" s="19" t="e">
        <f>#REF!</f>
        <v>#REF!</v>
      </c>
      <c r="AS30" s="19" t="e">
        <f>#REF!</f>
        <v>#REF!</v>
      </c>
      <c r="AT30" s="19" t="e">
        <f>#REF!</f>
        <v>#REF!</v>
      </c>
      <c r="AU30" s="19" t="e">
        <f>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#REF!</f>
        <v>#REF!</v>
      </c>
      <c r="AM31" s="19" t="e">
        <f>#REF!</f>
        <v>#REF!</v>
      </c>
      <c r="AN31" s="19" t="e">
        <f>#REF!</f>
        <v>#REF!</v>
      </c>
      <c r="AO31" s="19" t="e">
        <f>#REF!</f>
        <v>#REF!</v>
      </c>
      <c r="AP31" s="19" t="e">
        <f>#REF!</f>
        <v>#REF!</v>
      </c>
      <c r="AQ31" s="19" t="e">
        <f>#REF!</f>
        <v>#REF!</v>
      </c>
      <c r="AR31" s="19" t="e">
        <f>#REF!</f>
        <v>#REF!</v>
      </c>
      <c r="AS31" s="19" t="e">
        <f>#REF!</f>
        <v>#REF!</v>
      </c>
      <c r="AT31" s="19" t="e">
        <f>#REF!</f>
        <v>#REF!</v>
      </c>
      <c r="AU31" s="19" t="e">
        <f>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#REF!</f>
        <v>#REF!</v>
      </c>
      <c r="AM32" s="19" t="e">
        <f>#REF!</f>
        <v>#REF!</v>
      </c>
      <c r="AN32" s="19" t="e">
        <f>#REF!</f>
        <v>#REF!</v>
      </c>
      <c r="AO32" s="19" t="e">
        <f>#REF!</f>
        <v>#REF!</v>
      </c>
      <c r="AP32" s="19" t="e">
        <f>#REF!</f>
        <v>#REF!</v>
      </c>
      <c r="AQ32" s="19" t="e">
        <f>#REF!</f>
        <v>#REF!</v>
      </c>
      <c r="AR32" s="19" t="e">
        <f>#REF!</f>
        <v>#REF!</v>
      </c>
      <c r="AS32" s="19" t="e">
        <f>#REF!</f>
        <v>#REF!</v>
      </c>
      <c r="AT32" s="19" t="e">
        <f>#REF!</f>
        <v>#REF!</v>
      </c>
      <c r="AU32" s="19" t="e">
        <f>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#REF!</f>
        <v>#REF!</v>
      </c>
      <c r="AM33" s="19" t="e">
        <f>#REF!</f>
        <v>#REF!</v>
      </c>
      <c r="AN33" s="19" t="e">
        <f>#REF!</f>
        <v>#REF!</v>
      </c>
      <c r="AO33" s="19" t="e">
        <f>#REF!</f>
        <v>#REF!</v>
      </c>
      <c r="AP33" s="19" t="e">
        <f>#REF!</f>
        <v>#REF!</v>
      </c>
      <c r="AQ33" s="19" t="e">
        <f>#REF!</f>
        <v>#REF!</v>
      </c>
      <c r="AR33" s="19" t="e">
        <f>#REF!</f>
        <v>#REF!</v>
      </c>
      <c r="AS33" s="19" t="e">
        <f>#REF!</f>
        <v>#REF!</v>
      </c>
      <c r="AT33" s="19" t="e">
        <f>#REF!</f>
        <v>#REF!</v>
      </c>
      <c r="AU33" s="19" t="e">
        <f>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#REF!</f>
        <v>#REF!</v>
      </c>
      <c r="AM34" s="19" t="e">
        <f>#REF!</f>
        <v>#REF!</v>
      </c>
      <c r="AN34" s="19" t="e">
        <f>#REF!</f>
        <v>#REF!</v>
      </c>
      <c r="AO34" s="19" t="e">
        <f>#REF!</f>
        <v>#REF!</v>
      </c>
      <c r="AP34" s="19" t="e">
        <f>#REF!</f>
        <v>#REF!</v>
      </c>
      <c r="AQ34" s="19" t="e">
        <f>#REF!</f>
        <v>#REF!</v>
      </c>
      <c r="AR34" s="19" t="e">
        <f>#REF!</f>
        <v>#REF!</v>
      </c>
      <c r="AS34" s="19" t="e">
        <f>#REF!</f>
        <v>#REF!</v>
      </c>
      <c r="AT34" s="19" t="e">
        <f>#REF!</f>
        <v>#REF!</v>
      </c>
      <c r="AU34" s="19" t="e">
        <f>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T63"/>
  <sheetViews>
    <sheetView showGridLines="0" tabSelected="1" zoomScale="90" zoomScaleNormal="90" workbookViewId="0">
      <selection activeCell="M70" sqref="M70"/>
    </sheetView>
  </sheetViews>
  <sheetFormatPr defaultRowHeight="15" x14ac:dyDescent="0.25"/>
  <cols>
    <col min="1" max="1" width="9.140625" style="72"/>
    <col min="2" max="2" width="1.7109375" style="72" customWidth="1"/>
    <col min="3" max="3" width="9.140625" style="72"/>
    <col min="4" max="4" width="15.85546875" style="72" bestFit="1" customWidth="1"/>
    <col min="5" max="13" width="10.7109375" style="72" customWidth="1"/>
    <col min="14" max="14" width="10.7109375" style="72" hidden="1" customWidth="1"/>
    <col min="15" max="15" width="9.140625" style="72" hidden="1" customWidth="1"/>
    <col min="16" max="16" width="28.140625" style="72" hidden="1" customWidth="1"/>
    <col min="17" max="26" width="9.140625" style="72" hidden="1" customWidth="1"/>
    <col min="27" max="27" width="12.28515625" style="72" hidden="1" customWidth="1"/>
    <col min="28" max="30" width="9.140625" style="72" hidden="1" customWidth="1"/>
    <col min="31" max="31" width="12" style="72" hidden="1" customWidth="1"/>
    <col min="32" max="55" width="9.140625" style="72" hidden="1" customWidth="1"/>
    <col min="56" max="59" width="9.140625" style="72" customWidth="1"/>
    <col min="60" max="16384" width="9.140625" style="72"/>
  </cols>
  <sheetData>
    <row r="1" spans="1:72" ht="12.75" customHeight="1" x14ac:dyDescent="0.25"/>
    <row r="2" spans="1:72" ht="52.5" customHeight="1" x14ac:dyDescent="0.45">
      <c r="C2" s="154" t="s">
        <v>129</v>
      </c>
      <c r="D2" s="154"/>
      <c r="E2" s="154"/>
      <c r="F2" s="154"/>
      <c r="G2" s="154"/>
      <c r="H2" s="154"/>
      <c r="I2" s="154"/>
      <c r="J2" s="154"/>
      <c r="K2" s="154"/>
      <c r="L2" s="154"/>
      <c r="M2" s="144"/>
      <c r="N2" s="144"/>
      <c r="O2" s="27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D2" s="173"/>
      <c r="BE2" s="173"/>
      <c r="BF2" s="173"/>
      <c r="BG2" s="173"/>
      <c r="BH2" s="173"/>
      <c r="BI2" s="173"/>
      <c r="BJ2" s="173"/>
      <c r="BK2" s="173"/>
      <c r="BL2" s="173"/>
      <c r="BM2" s="173"/>
      <c r="BN2" s="173"/>
      <c r="BO2" s="173"/>
      <c r="BP2" s="173"/>
      <c r="BQ2" s="173"/>
      <c r="BR2" s="173"/>
      <c r="BS2" s="173"/>
      <c r="BT2" s="173"/>
    </row>
    <row r="3" spans="1:72" hidden="1" x14ac:dyDescent="0.25"/>
    <row r="4" spans="1:72" ht="15.75" x14ac:dyDescent="0.25">
      <c r="C4" s="155">
        <v>43624</v>
      </c>
      <c r="D4" s="156"/>
      <c r="E4" s="156"/>
      <c r="F4" s="156"/>
      <c r="G4" s="156"/>
      <c r="H4" s="156"/>
      <c r="I4" s="156"/>
      <c r="J4" s="156"/>
      <c r="K4" s="156"/>
      <c r="L4" s="156"/>
      <c r="M4" s="145"/>
      <c r="N4" s="145"/>
      <c r="O4" s="62"/>
    </row>
    <row r="5" spans="1:72" ht="20.25" x14ac:dyDescent="0.3"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62"/>
    </row>
    <row r="6" spans="1:72" ht="18.75" x14ac:dyDescent="0.25">
      <c r="C6" s="174" t="s">
        <v>32</v>
      </c>
      <c r="D6" s="175"/>
      <c r="E6" s="176"/>
      <c r="F6" s="176"/>
      <c r="G6" s="176"/>
      <c r="H6" s="176"/>
      <c r="I6" s="176"/>
      <c r="J6" s="176"/>
      <c r="K6" s="176"/>
      <c r="L6" s="176"/>
      <c r="M6" s="177"/>
      <c r="N6" s="178"/>
    </row>
    <row r="7" spans="1:72" ht="18.75" customHeight="1" x14ac:dyDescent="0.25">
      <c r="C7" s="133" t="s">
        <v>0</v>
      </c>
      <c r="D7" s="133" t="s">
        <v>1</v>
      </c>
      <c r="E7" s="133" t="s">
        <v>2</v>
      </c>
      <c r="F7" s="133" t="s">
        <v>3</v>
      </c>
      <c r="G7" s="133" t="s">
        <v>4</v>
      </c>
      <c r="H7" s="133" t="s">
        <v>5</v>
      </c>
      <c r="I7" s="133" t="s">
        <v>6</v>
      </c>
      <c r="J7" s="133" t="s">
        <v>7</v>
      </c>
      <c r="K7" s="133" t="s">
        <v>8</v>
      </c>
      <c r="L7" s="10" t="s">
        <v>9</v>
      </c>
      <c r="M7" s="134" t="s">
        <v>128</v>
      </c>
      <c r="N7" s="135"/>
      <c r="O7" s="2"/>
      <c r="P7" s="1" t="s">
        <v>1</v>
      </c>
      <c r="Q7" s="1" t="s">
        <v>2</v>
      </c>
      <c r="R7" s="1" t="s">
        <v>3</v>
      </c>
      <c r="S7" s="1" t="s">
        <v>4</v>
      </c>
      <c r="T7" s="1" t="s">
        <v>5</v>
      </c>
      <c r="U7" s="1" t="s">
        <v>6</v>
      </c>
      <c r="V7" s="1" t="s">
        <v>7</v>
      </c>
      <c r="W7" s="1" t="s">
        <v>8</v>
      </c>
      <c r="X7" s="1" t="s">
        <v>9</v>
      </c>
      <c r="Y7" s="2" t="s">
        <v>19</v>
      </c>
      <c r="AA7" s="41" t="s">
        <v>1</v>
      </c>
      <c r="AB7" s="19"/>
      <c r="AC7" s="19"/>
      <c r="AD7" s="19"/>
      <c r="AE7" s="41" t="s">
        <v>30</v>
      </c>
      <c r="AF7" s="19"/>
      <c r="AG7" s="41" t="s">
        <v>31</v>
      </c>
    </row>
    <row r="8" spans="1:72" x14ac:dyDescent="0.25">
      <c r="C8" s="19"/>
      <c r="D8" s="8"/>
      <c r="E8" s="8"/>
      <c r="F8" s="8"/>
      <c r="G8" s="8"/>
      <c r="H8" s="8"/>
      <c r="I8" s="8"/>
      <c r="J8" s="8"/>
      <c r="K8" s="8"/>
      <c r="L8" s="8"/>
      <c r="M8" s="7"/>
      <c r="N8" s="136"/>
      <c r="O8" s="2"/>
      <c r="P8" s="1"/>
      <c r="Q8" s="1"/>
      <c r="R8" s="1"/>
      <c r="S8" s="1"/>
      <c r="T8" s="1"/>
      <c r="U8" s="1"/>
      <c r="V8" s="1"/>
      <c r="W8" s="1"/>
      <c r="X8" s="1"/>
      <c r="Y8" s="2"/>
    </row>
    <row r="9" spans="1:72" ht="23.25" customHeight="1" x14ac:dyDescent="0.25">
      <c r="A9" s="73"/>
      <c r="B9" s="179"/>
      <c r="C9" s="131" t="s">
        <v>10</v>
      </c>
      <c r="D9" s="138" t="str">
        <f t="shared" ref="D9:D19" si="0">VLOOKUP(AH9,$O$9:$Y$19,2)</f>
        <v>Sporting</v>
      </c>
      <c r="E9" s="138">
        <f t="shared" ref="E9:E19" si="1">VLOOKUP(AH9,$O$9:$Y$19,3)</f>
        <v>10</v>
      </c>
      <c r="F9" s="138">
        <f t="shared" ref="F9:F19" si="2">VLOOKUP(AH9,$O$9:$Y$19,4)</f>
        <v>6</v>
      </c>
      <c r="G9" s="138">
        <f t="shared" ref="G9:G19" si="3">VLOOKUP(AH9,$O$9:$Y$19,5)</f>
        <v>3</v>
      </c>
      <c r="H9" s="138">
        <f t="shared" ref="H9:H19" si="4">VLOOKUP(AH9,$O$9:$Y$19,6)</f>
        <v>1</v>
      </c>
      <c r="I9" s="138">
        <f t="shared" ref="I9:I19" si="5">VLOOKUP(AH9,$O$9:$Y$19,7)</f>
        <v>18</v>
      </c>
      <c r="J9" s="138">
        <f t="shared" ref="J9:J19" si="6">VLOOKUP(AH9,$O$9:$Y$19,8)</f>
        <v>9</v>
      </c>
      <c r="K9" s="138">
        <f t="shared" ref="K9:K19" si="7">VLOOKUP(AH9,$O$9:$Y$19,9)</f>
        <v>9</v>
      </c>
      <c r="L9" s="131">
        <f t="shared" ref="L9:L19" si="8">VLOOKUP(AH9,$O$9:$Y$19,10)</f>
        <v>21</v>
      </c>
      <c r="M9" s="137">
        <f>IF(E9&gt;0,((L9*100)/N9)/100,0)</f>
        <v>0.7</v>
      </c>
      <c r="N9" s="15">
        <f>E9*3</f>
        <v>30</v>
      </c>
      <c r="O9" s="2">
        <v>1</v>
      </c>
      <c r="P9" s="180" t="s">
        <v>112</v>
      </c>
      <c r="Q9" s="1">
        <f>IF(Jogos!C9&lt;&gt;"",1,0)+IF(Jogos!L9&lt;&gt;"",1,0)+IF(Jogos!E36&lt;&gt;"",1,0)+IF(Jogos!J36&lt;&gt;"",1,0)+IF(Jogos!C64&lt;&gt;"",1,0)+IF(Jogos!L64&lt;&gt;"",1,0)+IF(Jogos!E92&lt;&gt;"",1,0)+IF(Jogos!J92&lt;&gt;"",1,0)+IF(Jogos!C120&lt;&gt;"",1,0)+IF(Jogos!L120&lt;&gt;"",1,0)+IF(Jogos!E148&lt;&gt;"",1,0)</f>
        <v>10</v>
      </c>
      <c r="R9" s="1">
        <f>IF(Jogos!C9&gt;Jogos!E9,1,0)+IF(Jogos!L9&gt;Jogos!J9,1,0)+IF(Jogos!E36&gt;Jogos!C36,1,0)+IF(Jogos!J36&gt;Jogos!L36,1,0)+IF(Jogos!C64&gt;Jogos!E64,1,0)+IF(Jogos!L64&gt;Jogos!J64,1,0)+IF(Jogos!E92&gt;Jogos!C92,1,0)+IF(Jogos!J92&gt;Jogos!L92,1,0)+IF(Jogos!C120&gt;Jogos!E120,1,0)+IF(Jogos!L120&gt;Jogos!J120,1,0)+IF(Jogos!E148&gt;Jogos!C148,1,0)</f>
        <v>6</v>
      </c>
      <c r="S9" s="1">
        <f>Q9-R9-T9</f>
        <v>2</v>
      </c>
      <c r="T9" s="1">
        <f>IF(Jogos!C9&lt;Jogos!E9,1,0)+IF(Jogos!L9&lt;Jogos!J9,1,0)+IF(Jogos!E36&lt;Jogos!C36,1,0)+IF(Jogos!J36&lt;Jogos!L36,1,0)+IF(Jogos!C64&lt;Jogos!E64,1,0)+IF(Jogos!L64&lt;Jogos!J64,1,0)+IF(Jogos!E92&lt;Jogos!C92,1,0)+IF(Jogos!J92&lt;Jogos!L92,1,0)+IF(Jogos!C120&lt;Jogos!E120,1,0)+IF(Jogos!L120&lt;Jogos!J120,1,0)+IF(Jogos!E148&lt;Jogos!C148,1,0)</f>
        <v>2</v>
      </c>
      <c r="U9" s="3">
        <f>Jogos!C9+Jogos!L9+Jogos!E36+Jogos!J36+Jogos!C64+Jogos!L64+Jogos!E92+Jogos!J92+Jogos!C120+Jogos!L120+Jogos!E148</f>
        <v>17</v>
      </c>
      <c r="V9" s="1">
        <f>Jogos!E9+Jogos!J9+Jogos!C36+Jogos!L36+Jogos!E64+Jogos!J64+Jogos!C92+Jogos!L92+Jogos!E120+Jogos!J120+Jogos!C148</f>
        <v>10</v>
      </c>
      <c r="W9" s="1">
        <f>U9-V9</f>
        <v>7</v>
      </c>
      <c r="X9" s="1">
        <f>R9*3+S9</f>
        <v>20</v>
      </c>
      <c r="Y9" s="2">
        <v>1</v>
      </c>
      <c r="AA9" s="41">
        <f t="shared" ref="AA9:AA19" si="9">(10^10)*X9+(10^8)*R9+(10^6)*(50+W9)+(10^4)*U9+(10^2)*Q9+(13-O9)</f>
        <v>200657171012</v>
      </c>
      <c r="AD9" s="72">
        <v>1</v>
      </c>
      <c r="AE9" s="72">
        <f>LARGE(AA9:AA19,AD9)</f>
        <v>210659181009</v>
      </c>
      <c r="AG9" s="72">
        <v>1</v>
      </c>
      <c r="AH9" s="72">
        <f>MATCH(AE9,AA9:AA19,0)</f>
        <v>4</v>
      </c>
    </row>
    <row r="10" spans="1:72" ht="23.25" customHeight="1" x14ac:dyDescent="0.25">
      <c r="A10" s="73"/>
      <c r="B10" s="179"/>
      <c r="C10" s="131" t="s">
        <v>11</v>
      </c>
      <c r="D10" s="11" t="str">
        <f t="shared" si="0"/>
        <v>Beşiktaş</v>
      </c>
      <c r="E10" s="11">
        <f t="shared" si="1"/>
        <v>10</v>
      </c>
      <c r="F10" s="11">
        <f t="shared" si="2"/>
        <v>6</v>
      </c>
      <c r="G10" s="11">
        <f t="shared" si="3"/>
        <v>2</v>
      </c>
      <c r="H10" s="11">
        <f t="shared" si="4"/>
        <v>2</v>
      </c>
      <c r="I10" s="11">
        <f t="shared" si="5"/>
        <v>20</v>
      </c>
      <c r="J10" s="11">
        <f t="shared" si="6"/>
        <v>8</v>
      </c>
      <c r="K10" s="11">
        <f t="shared" si="7"/>
        <v>12</v>
      </c>
      <c r="L10" s="131">
        <f t="shared" si="8"/>
        <v>20</v>
      </c>
      <c r="M10" s="139">
        <f t="shared" ref="M10:M19" si="10">IF(E10&gt;0,((L10*100)/N10)/100,0)</f>
        <v>0.66666666666666674</v>
      </c>
      <c r="N10" s="15">
        <f t="shared" ref="N10:N19" si="11">E10*3</f>
        <v>30</v>
      </c>
      <c r="O10" s="2">
        <v>2</v>
      </c>
      <c r="P10" s="180" t="s">
        <v>104</v>
      </c>
      <c r="Q10" s="1">
        <f>IF(Jogos!C11&lt;&gt;"",1,0)+IF(Jogos!L11&lt;&gt;"",1,0)+IF(Jogos!E38&lt;&gt;"",1,0)+IF(Jogos!J38&lt;&gt;"",1,0)+IF(Jogos!C66&lt;&gt;"",1,0)+IF(Jogos!L66&lt;&gt;"",1,0)+IF(Jogos!E94&lt;&gt;"",1,0)+IF(Jogos!J94&lt;&gt;"",1,0)+IF(Jogos!C122&lt;&gt;"",1,0)+IF(Jogos!L122&lt;&gt;"",1,0)+IF(Jogos!E150&lt;&gt;"",1,0)</f>
        <v>10</v>
      </c>
      <c r="R10" s="1">
        <f>IF(Jogos!C11&gt;Jogos!E11,1,0)+IF(Jogos!L11&gt;Jogos!J11,1,0)+IF(Jogos!E38&gt;Jogos!C38,1,0)+IF(Jogos!J38&gt;Jogos!L38,1,0)+IF(Jogos!C66&gt;Jogos!E66,1,0)+IF(Jogos!L66&gt;Jogos!J66,1,0)+IF(Jogos!E94&gt;Jogos!C94,1,0)+IF(Jogos!J94&gt;Jogos!L94,1,0)+IF(Jogos!C122&gt;Jogos!E122,1,0)+IF(Jogos!L122&gt;Jogos!J122,1,0)+IF(Jogos!E150&gt;Jogos!C150,1,0)</f>
        <v>3</v>
      </c>
      <c r="S10" s="1">
        <f t="shared" ref="S10" si="12">Q10-R10-T10</f>
        <v>2</v>
      </c>
      <c r="T10" s="1">
        <f>IF(Jogos!C11&lt;Jogos!E11,1,0)+IF(Jogos!L11&lt;Jogos!J11,1,0)+IF(Jogos!E38&lt;Jogos!C38,1,0)+IF(Jogos!J38&lt;Jogos!L38,1,0)+IF(Jogos!C66&lt;Jogos!E66,1,0)+IF(Jogos!L66&lt;Jogos!J66,1,0)+IF(Jogos!E94&lt;Jogos!C94,1,0)+IF(Jogos!J94&lt;Jogos!L94,1,0)+IF(Jogos!C122&lt;Jogos!E122,1,0)+IF(Jogos!L122&lt;Jogos!J122,1,0)+IF(Jogos!E150&lt;Jogos!C150,1,0)+IF(Jogos!J150&lt;Jogos!L150,1,0)</f>
        <v>5</v>
      </c>
      <c r="U10" s="3">
        <f>Jogos!C11+Jogos!L11+Jogos!E38+Jogos!J38+Jogos!C66+Jogos!L66+Jogos!E94+Jogos!J94+Jogos!C122+Jogos!L122+Jogos!E150</f>
        <v>10</v>
      </c>
      <c r="V10" s="1">
        <f>Jogos!E11+Jogos!J11+Jogos!C38+Jogos!L38+Jogos!E66+Jogos!J66+Jogos!C94+Jogos!L94+Jogos!E122+Jogos!J122+Jogos!C150</f>
        <v>14</v>
      </c>
      <c r="W10" s="1">
        <f t="shared" ref="W10" si="13">U10-V10</f>
        <v>-4</v>
      </c>
      <c r="X10" s="1">
        <f t="shared" ref="X10" si="14">R10*3+S10</f>
        <v>11</v>
      </c>
      <c r="Y10" s="2">
        <v>2</v>
      </c>
      <c r="AA10" s="41">
        <f t="shared" si="9"/>
        <v>110346101011</v>
      </c>
      <c r="AD10" s="72">
        <v>2</v>
      </c>
      <c r="AE10" s="72">
        <f>LARGE(AA9:AA19,AD10)</f>
        <v>200662201004</v>
      </c>
      <c r="AG10" s="72">
        <v>2</v>
      </c>
      <c r="AH10" s="72">
        <f>MATCH(AE10,AA9:AA19,0)</f>
        <v>9</v>
      </c>
    </row>
    <row r="11" spans="1:72" ht="23.25" customHeight="1" x14ac:dyDescent="0.25">
      <c r="A11" s="73"/>
      <c r="B11" s="181"/>
      <c r="C11" s="131" t="s">
        <v>12</v>
      </c>
      <c r="D11" s="138" t="str">
        <f t="shared" si="0"/>
        <v> Atalanta</v>
      </c>
      <c r="E11" s="138">
        <f t="shared" si="1"/>
        <v>10</v>
      </c>
      <c r="F11" s="138">
        <f t="shared" si="2"/>
        <v>6</v>
      </c>
      <c r="G11" s="138">
        <f t="shared" si="3"/>
        <v>2</v>
      </c>
      <c r="H11" s="138">
        <f t="shared" si="4"/>
        <v>2</v>
      </c>
      <c r="I11" s="138">
        <f t="shared" si="5"/>
        <v>17</v>
      </c>
      <c r="J11" s="138">
        <f t="shared" si="6"/>
        <v>10</v>
      </c>
      <c r="K11" s="138">
        <f t="shared" si="7"/>
        <v>7</v>
      </c>
      <c r="L11" s="131">
        <f t="shared" si="8"/>
        <v>20</v>
      </c>
      <c r="M11" s="137">
        <f t="shared" si="10"/>
        <v>0.66666666666666674</v>
      </c>
      <c r="N11" s="15">
        <f t="shared" si="11"/>
        <v>30</v>
      </c>
      <c r="O11" s="2">
        <v>3</v>
      </c>
      <c r="P11" s="180" t="s">
        <v>105</v>
      </c>
      <c r="Q11" s="1">
        <f>IF(Jogos!C13&lt;&gt;"",1,0)+IF(Jogos!L13&lt;&gt;"",1,0)+IF(Jogos!E40&lt;&gt;"",1,0)+IF(Jogos!J40&lt;&gt;"",1,0)+IF(Jogos!C68&lt;&gt;"",1,0)+IF(Jogos!L68&lt;&gt;"",1,0)+IF(Jogos!E96&lt;&gt;"",1,0)+IF(Jogos!J96&lt;&gt;"",1,0)+IF(Jogos!C124&lt;&gt;"",1,0)+IF(Jogos!L124&lt;&gt;"",1,0)+IF(Jogos!E152&lt;&gt;"",1,0)</f>
        <v>10</v>
      </c>
      <c r="R11" s="1">
        <f>IF(Jogos!C13&gt;Jogos!E13,1,0)+IF(Jogos!L13&gt;Jogos!J13,1,0)+IF(Jogos!E40&gt;Jogos!C40,1,0)+IF(Jogos!J40&gt;Jogos!L40,1,0)+IF(Jogos!C68&gt;Jogos!E68,1,0)+IF(Jogos!L68&gt;Jogos!J68,1,0)+IF(Jogos!E96&gt;Jogos!C96,1,0)+IF(Jogos!J96&gt;Jogos!L96,1,0)+IF(Jogos!C124&gt;Jogos!E124,1,0)+IF(Jogos!L124&gt;Jogos!J124,1,0)+IF(Jogos!E152&gt;Jogos!C152,1,0)</f>
        <v>2</v>
      </c>
      <c r="S11" s="1">
        <f t="shared" ref="S11:S19" si="15">Q11-R11-T11</f>
        <v>3</v>
      </c>
      <c r="T11" s="1">
        <f>IF(Jogos!C13&lt;Jogos!E13,1,0)+IF(Jogos!L13&lt;Jogos!J13,1,0)+IF(Jogos!E40&lt;Jogos!C40,1,0)+IF(Jogos!J40&lt;Jogos!L40,1,0)+IF(Jogos!C68&lt;Jogos!E68,1,0)+IF(Jogos!L68&lt;Jogos!J68,1,0)+IF(Jogos!E96&lt;Jogos!C96,1,0)+IF(Jogos!J96&lt;Jogos!L96,1,0)+IF(Jogos!C124&lt;Jogos!E124,1,0)+IF(Jogos!L124&lt;Jogos!J124,1,0)+IF(Jogos!E152&lt;Jogos!C152,1,0)+IF(Jogos!J152&lt;Jogos!L152,1,0)</f>
        <v>5</v>
      </c>
      <c r="U11" s="3">
        <f>Jogos!C13+Jogos!L13+Jogos!E40+Jogos!J40+Jogos!C68+Jogos!L68+Jogos!E96+Jogos!J96+Jogos!C124+Jogos!L124+Jogos!E152</f>
        <v>7</v>
      </c>
      <c r="V11" s="1">
        <f>Jogos!E13+Jogos!J13+Jogos!C40+Jogos!L40+Jogos!E68+Jogos!J68+Jogos!C96+Jogos!L96+Jogos!E124+Jogos!J124+Jogos!C152</f>
        <v>15</v>
      </c>
      <c r="W11" s="1">
        <f t="shared" ref="W11:W18" si="16">U11-V11</f>
        <v>-8</v>
      </c>
      <c r="X11" s="1">
        <f t="shared" ref="X11:X18" si="17">R11*3+S11</f>
        <v>9</v>
      </c>
      <c r="Y11" s="2">
        <v>3</v>
      </c>
      <c r="AA11" s="41">
        <f t="shared" si="9"/>
        <v>90242071010</v>
      </c>
      <c r="AD11" s="72">
        <v>3</v>
      </c>
      <c r="AE11" s="72">
        <f>LARGE(AA9:AA19,AD11)</f>
        <v>200657171012</v>
      </c>
      <c r="AG11" s="72">
        <v>3</v>
      </c>
      <c r="AH11" s="72">
        <f>MATCH(AE11,AA9:AA19,0)</f>
        <v>1</v>
      </c>
    </row>
    <row r="12" spans="1:72" ht="23.25" customHeight="1" x14ac:dyDescent="0.25">
      <c r="A12" s="73"/>
      <c r="B12" s="181"/>
      <c r="C12" s="131" t="s">
        <v>13</v>
      </c>
      <c r="D12" s="11" t="str">
        <f t="shared" si="0"/>
        <v>Schalke 04</v>
      </c>
      <c r="E12" s="11">
        <f t="shared" si="1"/>
        <v>10</v>
      </c>
      <c r="F12" s="11">
        <f t="shared" si="2"/>
        <v>5</v>
      </c>
      <c r="G12" s="11">
        <f t="shared" si="3"/>
        <v>2</v>
      </c>
      <c r="H12" s="11">
        <f t="shared" si="4"/>
        <v>3</v>
      </c>
      <c r="I12" s="11">
        <f t="shared" si="5"/>
        <v>13</v>
      </c>
      <c r="J12" s="11">
        <f t="shared" si="6"/>
        <v>7</v>
      </c>
      <c r="K12" s="11">
        <f t="shared" si="7"/>
        <v>6</v>
      </c>
      <c r="L12" s="131">
        <f t="shared" si="8"/>
        <v>17</v>
      </c>
      <c r="M12" s="139">
        <f t="shared" si="10"/>
        <v>0.56666666666666665</v>
      </c>
      <c r="N12" s="15">
        <f t="shared" si="11"/>
        <v>30</v>
      </c>
      <c r="O12" s="2">
        <v>4</v>
      </c>
      <c r="P12" s="180" t="s">
        <v>106</v>
      </c>
      <c r="Q12" s="1">
        <f>IF(Jogos!C15&lt;&gt;"",1,0)+IF(Jogos!L15&lt;&gt;"",1,0)+IF(Jogos!E42&lt;&gt;"",1,0)+IF(Jogos!J42&lt;&gt;"",1,0)+IF(Jogos!C70&lt;&gt;"",1,0)+IF(Jogos!L70&lt;&gt;"",1,0)+IF(Jogos!E98&lt;&gt;"",1,0)+IF(Jogos!J98&lt;&gt;"",1,0)+IF(Jogos!C126&lt;&gt;"",1,0)+IF(Jogos!L126&lt;&gt;"",1,0)+IF(Jogos!E154&lt;&gt;"",1,0)</f>
        <v>10</v>
      </c>
      <c r="R12" s="1">
        <f>IF(Jogos!C15&gt;Jogos!E15,1,0)+IF(Jogos!L15&gt;Jogos!J15,1,0)+IF(Jogos!E42&gt;Jogos!C42,1,0)+IF(Jogos!J42&gt;Jogos!L42,1,0)+IF(Jogos!C70&gt;Jogos!E70,1,0)+IF(Jogos!L70&gt;Jogos!J70,1,0)+IF(Jogos!E98&gt;Jogos!C98,1,0)+IF(Jogos!J98&gt;Jogos!L98,1,0)+IF(Jogos!C126&gt;Jogos!E126,1,0)+IF(Jogos!L126&gt;Jogos!J126,1,0)+IF(Jogos!E154&gt;Jogos!C154,1,0)</f>
        <v>6</v>
      </c>
      <c r="S12" s="1">
        <f t="shared" si="15"/>
        <v>3</v>
      </c>
      <c r="T12" s="1">
        <f>IF(Jogos!C15&lt;Jogos!E15,1,0)+IF(Jogos!L15&lt;Jogos!J15,1,0)+IF(Jogos!E42&lt;Jogos!C42,1,0)+IF(Jogos!J42&lt;Jogos!L42,1,0)+IF(Jogos!C70&lt;Jogos!E70,1,0)+IF(Jogos!L70&lt;Jogos!J70,1,0)+IF(Jogos!E98&lt;Jogos!C98,1,0)+IF(Jogos!J98&lt;Jogos!L98,1,0)+IF(Jogos!C126&lt;Jogos!E126,1,0)+IF(Jogos!L126&lt;Jogos!J126,1,0)+IF(Jogos!E154&lt;Jogos!C154,1,0)+IF(Jogos!J154&lt;Jogos!L154,1,0)</f>
        <v>1</v>
      </c>
      <c r="U12" s="3">
        <f>Jogos!C15+Jogos!L15+Jogos!E42+Jogos!J42+Jogos!C70+Jogos!L70+Jogos!E98+Jogos!J98+Jogos!C126+Jogos!L126+Jogos!E154</f>
        <v>18</v>
      </c>
      <c r="V12" s="1">
        <f>Jogos!E15+Jogos!J15+Jogos!C42+Jogos!L42+Jogos!E70+Jogos!J70+Jogos!C98+Jogos!L98+Jogos!E126+Jogos!J126+Jogos!C154</f>
        <v>9</v>
      </c>
      <c r="W12" s="1">
        <f t="shared" si="16"/>
        <v>9</v>
      </c>
      <c r="X12" s="1">
        <f t="shared" si="17"/>
        <v>21</v>
      </c>
      <c r="Y12" s="2">
        <v>4</v>
      </c>
      <c r="AA12" s="41">
        <f t="shared" si="9"/>
        <v>210659181009</v>
      </c>
      <c r="AD12" s="72">
        <v>4</v>
      </c>
      <c r="AE12" s="72">
        <f>LARGE(AA9:AA19,AD12)</f>
        <v>170556131008</v>
      </c>
      <c r="AG12" s="72">
        <v>4</v>
      </c>
      <c r="AH12" s="72">
        <f>MATCH(AE12,AA9:AA19,0)</f>
        <v>5</v>
      </c>
    </row>
    <row r="13" spans="1:72" ht="23.25" customHeight="1" x14ac:dyDescent="0.25">
      <c r="A13" s="73"/>
      <c r="B13" s="181"/>
      <c r="C13" s="131" t="s">
        <v>14</v>
      </c>
      <c r="D13" s="138" t="str">
        <f t="shared" si="0"/>
        <v>Hoffenheim</v>
      </c>
      <c r="E13" s="138">
        <f t="shared" si="1"/>
        <v>10</v>
      </c>
      <c r="F13" s="138">
        <f t="shared" si="2"/>
        <v>3</v>
      </c>
      <c r="G13" s="138">
        <f t="shared" si="3"/>
        <v>2</v>
      </c>
      <c r="H13" s="138">
        <f t="shared" si="4"/>
        <v>5</v>
      </c>
      <c r="I13" s="138">
        <f t="shared" si="5"/>
        <v>10</v>
      </c>
      <c r="J13" s="138">
        <f t="shared" si="6"/>
        <v>14</v>
      </c>
      <c r="K13" s="138">
        <f t="shared" si="7"/>
        <v>-4</v>
      </c>
      <c r="L13" s="131">
        <f t="shared" si="8"/>
        <v>11</v>
      </c>
      <c r="M13" s="137">
        <f t="shared" si="10"/>
        <v>0.36666666666666664</v>
      </c>
      <c r="N13" s="15">
        <f t="shared" si="11"/>
        <v>30</v>
      </c>
      <c r="O13" s="2">
        <v>5</v>
      </c>
      <c r="P13" s="180" t="s">
        <v>107</v>
      </c>
      <c r="Q13" s="1">
        <f>IF(Jogos!C17&lt;&gt;"",1,0)+IF(Jogos!L17&lt;&gt;"",1,0)+IF(Jogos!E44&lt;&gt;"",1,0)+IF(Jogos!J44&lt;&gt;"",1,0)+IF(Jogos!C72&lt;&gt;"",1,0)+IF(Jogos!L72&lt;&gt;"",1,0)+IF(Jogos!E100&lt;&gt;"",1,0)+IF(Jogos!J100&lt;&gt;"",1,0)+IF(Jogos!C128&lt;&gt;"",1,0)+IF(Jogos!L128&lt;&gt;"",1,0)+IF(Jogos!E156&lt;&gt;"",1,0)</f>
        <v>10</v>
      </c>
      <c r="R13" s="1">
        <f>IF(Jogos!C17&gt;Jogos!E17,1,0)+IF(Jogos!L17&gt;Jogos!J17,1,0)+IF(Jogos!E44&gt;Jogos!C44,1,0)+IF(Jogos!J44&gt;Jogos!L44,1,0)+IF(Jogos!C72&gt;Jogos!E72,1,0)+IF(Jogos!L72&gt;Jogos!J72,1,0)+IF(Jogos!E100&gt;Jogos!C100,1,0)+IF(Jogos!J100&gt;Jogos!L100,1,0)+IF(Jogos!C128&gt;Jogos!E128,1,0)+IF(Jogos!L128&gt;Jogos!J128,1,0)+IF(Jogos!E156&gt;Jogos!C156,1,0)</f>
        <v>5</v>
      </c>
      <c r="S13" s="1">
        <f t="shared" si="15"/>
        <v>2</v>
      </c>
      <c r="T13" s="1">
        <f>IF(Jogos!C17&lt;Jogos!E17,1,0)+IF(Jogos!L17&lt;Jogos!J17,1,0)+IF(Jogos!E44&lt;Jogos!C44,1,0)+IF(Jogos!J44&lt;Jogos!L44,1,0)+IF(Jogos!C72&lt;Jogos!E72,1,0)+IF(Jogos!L72&lt;Jogos!J72,1,0)+IF(Jogos!E100&lt;Jogos!C100,1,0)+IF(Jogos!J100&lt;Jogos!L100,1,0)+IF(Jogos!C128&lt;Jogos!E128,1,0)+IF(Jogos!L128&lt;Jogos!J128,1,0)+IF(Jogos!E156&lt;Jogos!C156,1,0)+IF(Jogos!J156&lt;Jogos!L156,1,0)</f>
        <v>3</v>
      </c>
      <c r="U13" s="3">
        <f>Jogos!C17+Jogos!L17+Jogos!E44+Jogos!J44+Jogos!C72+Jogos!L72+Jogos!E100+Jogos!J100+Jogos!C128+Jogos!L128+Jogos!E156</f>
        <v>13</v>
      </c>
      <c r="V13" s="1">
        <f>Jogos!E17+Jogos!J17+Jogos!C44+Jogos!L44+Jogos!E72+Jogos!J72+Jogos!C100+Jogos!L100+Jogos!E128+Jogos!J128+Jogos!C156</f>
        <v>7</v>
      </c>
      <c r="W13" s="1">
        <f t="shared" si="16"/>
        <v>6</v>
      </c>
      <c r="X13" s="1">
        <f t="shared" si="17"/>
        <v>17</v>
      </c>
      <c r="Y13" s="2">
        <v>5</v>
      </c>
      <c r="AA13" s="41">
        <f t="shared" si="9"/>
        <v>170556131008</v>
      </c>
      <c r="AD13" s="72">
        <v>5</v>
      </c>
      <c r="AE13" s="72">
        <f>LARGE(AA9:AA19,AD13)</f>
        <v>110346101011</v>
      </c>
      <c r="AG13" s="72">
        <v>5</v>
      </c>
      <c r="AH13" s="72">
        <f>MATCH(AE13,AA9:AA19,0)</f>
        <v>2</v>
      </c>
    </row>
    <row r="14" spans="1:72" ht="23.25" customHeight="1" x14ac:dyDescent="0.25">
      <c r="A14" s="73"/>
      <c r="B14" s="181"/>
      <c r="C14" s="131" t="s">
        <v>15</v>
      </c>
      <c r="D14" s="11" t="str">
        <f t="shared" si="0"/>
        <v>Real Sociedad</v>
      </c>
      <c r="E14" s="11">
        <f t="shared" si="1"/>
        <v>10</v>
      </c>
      <c r="F14" s="11">
        <f t="shared" si="2"/>
        <v>2</v>
      </c>
      <c r="G14" s="11">
        <f t="shared" si="3"/>
        <v>3</v>
      </c>
      <c r="H14" s="11">
        <f t="shared" si="4"/>
        <v>5</v>
      </c>
      <c r="I14" s="11">
        <f t="shared" si="5"/>
        <v>7</v>
      </c>
      <c r="J14" s="11">
        <f t="shared" si="6"/>
        <v>15</v>
      </c>
      <c r="K14" s="11">
        <f t="shared" si="7"/>
        <v>-8</v>
      </c>
      <c r="L14" s="131">
        <f t="shared" si="8"/>
        <v>9</v>
      </c>
      <c r="M14" s="139">
        <f t="shared" si="10"/>
        <v>0.3</v>
      </c>
      <c r="N14" s="15">
        <f t="shared" si="11"/>
        <v>30</v>
      </c>
      <c r="O14" s="2">
        <v>6</v>
      </c>
      <c r="P14" s="180" t="s">
        <v>108</v>
      </c>
      <c r="Q14" s="1">
        <f>IF(Jogos!C19&lt;&gt;"",1,0)+IF(Jogos!L19&lt;&gt;"",1,0)+IF(Jogos!E46&lt;&gt;"",1,0)+IF(Jogos!J46&lt;&gt;"",1,0)+IF(Jogos!C74&lt;&gt;"",1,0)+IF(Jogos!L74&lt;&gt;"",1,0)+IF(Jogos!E102&lt;&gt;"",1,0)+IF(Jogos!J102&lt;&gt;"",1,0)+IF(Jogos!C130&lt;&gt;"",1,0)+IF(Jogos!L130&lt;&gt;"",1,0)+IF(Jogos!E158&lt;&gt;"",1,0)</f>
        <v>0</v>
      </c>
      <c r="R14" s="1">
        <f>IF(Jogos!C19&gt;Jogos!E19,1,0)+IF(Jogos!L19&gt;Jogos!J19,1,0)+IF(Jogos!E46&gt;Jogos!C46,1,0)+IF(Jogos!J46&gt;Jogos!L46,1,0)+IF(Jogos!C74&gt;Jogos!E74,1,0)+IF(Jogos!L74&gt;Jogos!J74,1,0)+IF(Jogos!E102&gt;Jogos!C102,1,0)+IF(Jogos!J102&gt;Jogos!L102,1,0)+IF(Jogos!C130&gt;Jogos!E130,1,0)+IF(Jogos!L130&gt;Jogos!J130,1,0)+IF(Jogos!E158&gt;Jogos!C158,1,0)</f>
        <v>0</v>
      </c>
      <c r="S14" s="1">
        <f t="shared" si="15"/>
        <v>0</v>
      </c>
      <c r="T14" s="1">
        <f>IF(Jogos!C19&lt;Jogos!E19,1,0)+IF(Jogos!L19&lt;Jogos!J19,1,0)+IF(Jogos!E46&lt;Jogos!C46,1,0)+IF(Jogos!J46&lt;Jogos!L46,1,0)+IF(Jogos!C74&lt;Jogos!E74,1,0)+IF(Jogos!L74&lt;Jogos!J74,1,0)+IF(Jogos!E102&lt;Jogos!C102,1,0)+IF(Jogos!J102&lt;Jogos!L102,1,0)+IF(Jogos!C130&lt;Jogos!E130,1,0)+IF(Jogos!L130&lt;Jogos!J130,1,0)+IF(Jogos!E158&lt;Jogos!C158,1,0)+IF(Jogos!J158&lt;Jogos!L158,1,0)</f>
        <v>0</v>
      </c>
      <c r="U14" s="3">
        <f>Jogos!C19+Jogos!L19+Jogos!E46+Jogos!J46+Jogos!C74+Jogos!L74+Jogos!E102+Jogos!J102+Jogos!C130+Jogos!L130+Jogos!E158</f>
        <v>0</v>
      </c>
      <c r="V14" s="1">
        <f>Jogos!E19+Jogos!J19+Jogos!C46+Jogos!L46+Jogos!E74+Jogos!J74+Jogos!C102+Jogos!L102+Jogos!E130+Jogos!J130+Jogos!C158</f>
        <v>0</v>
      </c>
      <c r="W14" s="1">
        <f t="shared" si="16"/>
        <v>0</v>
      </c>
      <c r="X14" s="1">
        <f t="shared" si="17"/>
        <v>0</v>
      </c>
      <c r="Y14" s="2">
        <v>6</v>
      </c>
      <c r="AA14" s="41">
        <f t="shared" si="9"/>
        <v>50000007</v>
      </c>
      <c r="AD14" s="72">
        <v>6</v>
      </c>
      <c r="AE14" s="72">
        <f>LARGE(AA9:AA19,AD14)</f>
        <v>90242071010</v>
      </c>
      <c r="AG14" s="72">
        <v>6</v>
      </c>
      <c r="AH14" s="72">
        <f>MATCH(AE14,AA9:AA19,0)</f>
        <v>3</v>
      </c>
    </row>
    <row r="15" spans="1:72" ht="23.25" customHeight="1" x14ac:dyDescent="0.25">
      <c r="A15" s="73"/>
      <c r="B15" s="181"/>
      <c r="C15" s="131" t="s">
        <v>16</v>
      </c>
      <c r="D15" s="138" t="str">
        <f t="shared" si="0"/>
        <v>West Ham</v>
      </c>
      <c r="E15" s="138">
        <f t="shared" si="1"/>
        <v>10</v>
      </c>
      <c r="F15" s="138">
        <f t="shared" si="2"/>
        <v>1</v>
      </c>
      <c r="G15" s="138">
        <f t="shared" si="3"/>
        <v>5</v>
      </c>
      <c r="H15" s="138">
        <f t="shared" si="4"/>
        <v>4</v>
      </c>
      <c r="I15" s="138">
        <f t="shared" si="5"/>
        <v>10</v>
      </c>
      <c r="J15" s="138">
        <f t="shared" si="6"/>
        <v>13</v>
      </c>
      <c r="K15" s="138">
        <f t="shared" si="7"/>
        <v>-3</v>
      </c>
      <c r="L15" s="131">
        <f t="shared" si="8"/>
        <v>8</v>
      </c>
      <c r="M15" s="137">
        <f t="shared" si="10"/>
        <v>0.26666666666666666</v>
      </c>
      <c r="N15" s="15">
        <f t="shared" si="11"/>
        <v>30</v>
      </c>
      <c r="O15" s="2">
        <v>7</v>
      </c>
      <c r="P15" s="182" t="s">
        <v>124</v>
      </c>
      <c r="Q15" s="1">
        <f>IF(Jogos!C21&lt;&gt;"",1,0)+IF(Jogos!L21&lt;&gt;"",1,0)+IF(Jogos!E48&lt;&gt;"",1,0)+IF(Jogos!J48&lt;&gt;"",1,0)+IF(Jogos!C76&lt;&gt;"",1,0)+IF(Jogos!L76&lt;&gt;"",1,0)+IF(Jogos!E104&lt;&gt;"",1,0)+IF(Jogos!J104&lt;&gt;"",1,0)+IF(Jogos!C132&lt;&gt;"",1,0)+IF(Jogos!L132&lt;&gt;"",1,0)+IF(Jogos!E160&lt;&gt;"",1,0)</f>
        <v>10</v>
      </c>
      <c r="R15" s="1">
        <f>IF(Jogos!C21&gt;Jogos!E21,1,0)+IF(Jogos!L21&gt;Jogos!J21,1,0)+IF(Jogos!E48&gt;Jogos!C48,1,0)+IF(Jogos!J48&gt;Jogos!L48,1,0)+IF(Jogos!C76&gt;Jogos!E76,1,0)+IF(Jogos!L76&gt;Jogos!J76,1,0)+IF(Jogos!E104&gt;Jogos!C104,1,0)+IF(Jogos!J104&gt;Jogos!L104,1,0)+IF(Jogos!C132&gt;Jogos!E132,1,0)+IF(Jogos!L132&gt;Jogos!J132,1,0)+IF(Jogos!E160&gt;Jogos!C160,1,0)</f>
        <v>1</v>
      </c>
      <c r="S15" s="1">
        <f t="shared" si="15"/>
        <v>4</v>
      </c>
      <c r="T15" s="1">
        <f>IF(Jogos!C21&lt;Jogos!E21,1,0)+IF(Jogos!L21&lt;Jogos!J21,1,0)+IF(Jogos!E48&lt;Jogos!C48,1,0)+IF(Jogos!J48&lt;Jogos!L48,1,0)+IF(Jogos!C76&lt;Jogos!E76,1,0)+IF(Jogos!L76&lt;Jogos!J76,1,0)+IF(Jogos!E104&lt;Jogos!C104,1,0)+IF(Jogos!J104&lt;Jogos!L104,1,0)+IF(Jogos!C132&lt;Jogos!E132,1,0)+IF(Jogos!L132&lt;Jogos!J132,1,0)+IF(Jogos!E160&lt;Jogos!C160,1,0)+IF(Jogos!J160&lt;Jogos!L160,1,0)</f>
        <v>5</v>
      </c>
      <c r="U15" s="3">
        <f>Jogos!C21+Jogos!L21+Jogos!E48+Jogos!J48+Jogos!C76+Jogos!L76+Jogos!E104+Jogos!J104+Jogos!C132+Jogos!L132+Jogos!E160</f>
        <v>8</v>
      </c>
      <c r="V15" s="1">
        <f>Jogos!E21+Jogos!J21+Jogos!C48+Jogos!L48+Jogos!E76+Jogos!J76+Jogos!C104+Jogos!L104+Jogos!E132+Jogos!J132+Jogos!C160</f>
        <v>14</v>
      </c>
      <c r="W15" s="1">
        <f t="shared" si="16"/>
        <v>-6</v>
      </c>
      <c r="X15" s="1">
        <f t="shared" si="17"/>
        <v>7</v>
      </c>
      <c r="Y15" s="2">
        <v>7</v>
      </c>
      <c r="AA15" s="41">
        <f t="shared" si="9"/>
        <v>70144081006</v>
      </c>
      <c r="AD15" s="72">
        <v>7</v>
      </c>
      <c r="AE15" s="72">
        <f>LARGE(AA9:AA19,AD15)</f>
        <v>80147101003</v>
      </c>
      <c r="AG15" s="72">
        <v>7</v>
      </c>
      <c r="AH15" s="72">
        <f>MATCH(AE15,AA9:AA19,0)</f>
        <v>10</v>
      </c>
    </row>
    <row r="16" spans="1:72" ht="23.25" customHeight="1" x14ac:dyDescent="0.25">
      <c r="A16" s="73"/>
      <c r="B16" s="181"/>
      <c r="C16" s="131" t="s">
        <v>17</v>
      </c>
      <c r="D16" s="11" t="str">
        <f t="shared" si="0"/>
        <v>Olympique</v>
      </c>
      <c r="E16" s="11">
        <f t="shared" si="1"/>
        <v>10</v>
      </c>
      <c r="F16" s="11">
        <f t="shared" si="2"/>
        <v>2</v>
      </c>
      <c r="G16" s="11">
        <f t="shared" si="3"/>
        <v>1</v>
      </c>
      <c r="H16" s="11">
        <f t="shared" si="4"/>
        <v>7</v>
      </c>
      <c r="I16" s="11">
        <f t="shared" si="5"/>
        <v>3</v>
      </c>
      <c r="J16" s="11">
        <f t="shared" si="6"/>
        <v>12</v>
      </c>
      <c r="K16" s="11">
        <f t="shared" si="7"/>
        <v>-9</v>
      </c>
      <c r="L16" s="131">
        <f t="shared" si="8"/>
        <v>7</v>
      </c>
      <c r="M16" s="139">
        <f t="shared" si="10"/>
        <v>0.23333333333333331</v>
      </c>
      <c r="N16" s="15">
        <f t="shared" si="11"/>
        <v>30</v>
      </c>
      <c r="O16" s="2">
        <v>8</v>
      </c>
      <c r="P16" s="180" t="s">
        <v>109</v>
      </c>
      <c r="Q16" s="1">
        <f>IF(Jogos!C23&lt;&gt;"",1,0)+IF(Jogos!L23&lt;&gt;"",1,0)+IF(Jogos!E50&lt;&gt;"",1,0)+IF(Jogos!J50&lt;&gt;"",1,0)+IF(Jogos!C78&lt;&gt;"",1,0)+IF(Jogos!L78&lt;&gt;"",1,0)+IF(Jogos!E106&lt;&gt;"",1,0)+IF(Jogos!J106&lt;&gt;"",1,0)+IF(Jogos!C134&lt;&gt;"",1,0)+IF(Jogos!L134&lt;&gt;"",1,0)+IF(Jogos!E162&lt;&gt;"",1,0)</f>
        <v>10</v>
      </c>
      <c r="R16" s="1">
        <f>IF(Jogos!C23&gt;Jogos!E23,1,0)+IF(Jogos!L23&gt;Jogos!J23,1,0)+IF(Jogos!E50&gt;Jogos!C50,1,0)+IF(Jogos!J50&gt;Jogos!L50,1,0)+IF(Jogos!C78&gt;Jogos!E78,1,0)+IF(Jogos!L78&gt;Jogos!J78,1,0)+IF(Jogos!E106&gt;Jogos!C106,1,0)+IF(Jogos!J106&gt;Jogos!L106,1,0)+IF(Jogos!C134&gt;Jogos!E134,1,0)+IF(Jogos!L134&gt;Jogos!J134,1,0)+IF(Jogos!E162&gt;Jogos!C162,1,0)</f>
        <v>1</v>
      </c>
      <c r="S16" s="1">
        <f t="shared" si="15"/>
        <v>4</v>
      </c>
      <c r="T16" s="1">
        <f>IF(Jogos!C23&lt;Jogos!E23,1,0)+IF(Jogos!L23&lt;Jogos!J23,1,0)+IF(Jogos!E50&lt;Jogos!C50,1,0)+IF(Jogos!J50&lt;Jogos!L50,1,0)+IF(Jogos!C78&lt;Jogos!E78,1,0)+IF(Jogos!L78&lt;Jogos!J78,1,0)+IF(Jogos!E106&lt;Jogos!C106,1,0)+IF(Jogos!J106&lt;Jogos!L106,1,0)+IF(Jogos!C134&lt;Jogos!E134,1,0)+IF(Jogos!L134&lt;Jogos!J134,1,0)+IF(Jogos!E162&lt;Jogos!C162,1,0)+IF(Jogos!J162&lt;Jogos!L162,1,0)</f>
        <v>5</v>
      </c>
      <c r="U16" s="3">
        <f>Jogos!C23+Jogos!L23+Jogos!E50+Jogos!J50+Jogos!C78+Jogos!L78+Jogos!E106+Jogos!J106+Jogos!C134+Jogos!L134+Jogos!E162</f>
        <v>7</v>
      </c>
      <c r="V16" s="1">
        <f>Jogos!E23+Jogos!J23+Jogos!C50+Jogos!L50+Jogos!E78+Jogos!J78+Jogos!C106+Jogos!L106+Jogos!E134+Jogos!J134+Jogos!C162</f>
        <v>11</v>
      </c>
      <c r="W16" s="1">
        <f t="shared" si="16"/>
        <v>-4</v>
      </c>
      <c r="X16" s="1">
        <f t="shared" si="17"/>
        <v>7</v>
      </c>
      <c r="Y16" s="2">
        <v>8</v>
      </c>
      <c r="AA16" s="41">
        <f t="shared" si="9"/>
        <v>70146071005</v>
      </c>
      <c r="AD16" s="72">
        <v>8</v>
      </c>
      <c r="AE16" s="72">
        <f>LARGE(AA9:AA19,AD16)</f>
        <v>70241031002</v>
      </c>
      <c r="AG16" s="72">
        <v>8</v>
      </c>
      <c r="AH16" s="72">
        <f>MATCH(AE16,AA9:AA19,0)</f>
        <v>11</v>
      </c>
    </row>
    <row r="17" spans="1:34" ht="23.25" customHeight="1" x14ac:dyDescent="0.25">
      <c r="A17" s="73"/>
      <c r="B17" s="181"/>
      <c r="C17" s="132" t="s">
        <v>18</v>
      </c>
      <c r="D17" s="138" t="str">
        <f t="shared" si="0"/>
        <v>Monaco</v>
      </c>
      <c r="E17" s="138">
        <f t="shared" si="1"/>
        <v>10</v>
      </c>
      <c r="F17" s="138">
        <f t="shared" si="2"/>
        <v>1</v>
      </c>
      <c r="G17" s="138">
        <f t="shared" si="3"/>
        <v>4</v>
      </c>
      <c r="H17" s="138">
        <f t="shared" si="4"/>
        <v>5</v>
      </c>
      <c r="I17" s="138">
        <f t="shared" si="5"/>
        <v>7</v>
      </c>
      <c r="J17" s="138">
        <f t="shared" si="6"/>
        <v>11</v>
      </c>
      <c r="K17" s="138">
        <f t="shared" si="7"/>
        <v>-4</v>
      </c>
      <c r="L17" s="132">
        <f t="shared" si="8"/>
        <v>7</v>
      </c>
      <c r="M17" s="137">
        <f t="shared" si="10"/>
        <v>0.23333333333333331</v>
      </c>
      <c r="N17" s="15">
        <f t="shared" si="11"/>
        <v>30</v>
      </c>
      <c r="O17" s="2">
        <v>9</v>
      </c>
      <c r="P17" s="180" t="s">
        <v>103</v>
      </c>
      <c r="Q17" s="1">
        <f>IF(Jogos!C25&lt;&gt;"",1,0)+IF(Jogos!L25&lt;&gt;"",1,0)+IF(Jogos!E52&lt;&gt;"",1,0)+IF(Jogos!J52&lt;&gt;"",1,0)+IF(Jogos!C80&lt;&gt;"",1,0)+IF(Jogos!L80&lt;&gt;"",1,0)+IF(Jogos!E108&lt;&gt;"",1,0)+IF(Jogos!J108&lt;&gt;"",1,0)+IF(Jogos!C136&lt;&gt;"",1,0)+IF(Jogos!L136&lt;&gt;"",1,0)+IF(Jogos!E164&lt;&gt;"",1,0)</f>
        <v>10</v>
      </c>
      <c r="R17" s="1">
        <f>IF(Jogos!C25&gt;Jogos!E25,1,0)+IF(Jogos!L25&gt;Jogos!J25,1,0)+IF(Jogos!E52&gt;Jogos!C52,1,0)+IF(Jogos!J52&gt;Jogos!L52,1,0)+IF(Jogos!C80&gt;Jogos!E80,1,0)+IF(Jogos!L80&gt;Jogos!J80,1,0)+IF(Jogos!E108&gt;Jogos!C108,1,0)+IF(Jogos!J108&gt;Jogos!L108,1,0)+IF(Jogos!C136&gt;Jogos!E136,1,0)+IF(Jogos!L136&gt;Jogos!J136,1,0)+IF(Jogos!E164&gt;Jogos!C164,1,0)</f>
        <v>6</v>
      </c>
      <c r="S17" s="1">
        <f t="shared" si="15"/>
        <v>2</v>
      </c>
      <c r="T17" s="1">
        <f>IF(Jogos!C25&lt;Jogos!E25,1,0)+IF(Jogos!L25&lt;Jogos!J25,1,0)+IF(Jogos!E52&lt;Jogos!C52,1,0)+IF(Jogos!J52&lt;Jogos!L52,1,0)+IF(Jogos!C80&lt;Jogos!E80,1,0)+IF(Jogos!L80&lt;Jogos!J80,1,0)+IF(Jogos!E108&lt;Jogos!C108,1,0)+IF(Jogos!J108&lt;Jogos!L108,1,0)+IF(Jogos!C136&lt;Jogos!E136,1,0)+IF(Jogos!L136&lt;Jogos!J136,1,0)+IF(Jogos!E164&lt;Jogos!C164,1,0)+IF(Jogos!J164&lt;Jogos!L164,1,0)</f>
        <v>2</v>
      </c>
      <c r="U17" s="3">
        <f>Jogos!C25+Jogos!L25+Jogos!E52+Jogos!J52+Jogos!C80+Jogos!L80+Jogos!E108+Jogos!J108+Jogos!C136+Jogos!L136+Jogos!E164</f>
        <v>20</v>
      </c>
      <c r="V17" s="1">
        <f>Jogos!E25+Jogos!J25+Jogos!C52+Jogos!L52+Jogos!E80+Jogos!J80+Jogos!C108+Jogos!L108+Jogos!E136+Jogos!J136+Jogos!C164</f>
        <v>8</v>
      </c>
      <c r="W17" s="1">
        <f t="shared" si="16"/>
        <v>12</v>
      </c>
      <c r="X17" s="1">
        <f t="shared" si="17"/>
        <v>20</v>
      </c>
      <c r="Y17" s="2">
        <v>9</v>
      </c>
      <c r="AA17" s="41">
        <f t="shared" si="9"/>
        <v>200662201004</v>
      </c>
      <c r="AD17" s="72">
        <v>9</v>
      </c>
      <c r="AE17" s="72">
        <f>LARGE(AA9:AA19,AD17)</f>
        <v>70146071005</v>
      </c>
      <c r="AG17" s="72">
        <v>9</v>
      </c>
      <c r="AH17" s="72">
        <f>MATCH(AE17,AA9:AA19,0)</f>
        <v>8</v>
      </c>
    </row>
    <row r="18" spans="1:34" ht="23.25" customHeight="1" x14ac:dyDescent="0.25">
      <c r="A18" s="73"/>
      <c r="B18" s="181"/>
      <c r="C18" s="132" t="s">
        <v>40</v>
      </c>
      <c r="D18" s="11" t="str">
        <f t="shared" si="0"/>
        <v>Athl. De Bilbao</v>
      </c>
      <c r="E18" s="11">
        <f t="shared" si="1"/>
        <v>10</v>
      </c>
      <c r="F18" s="11">
        <f t="shared" si="2"/>
        <v>1</v>
      </c>
      <c r="G18" s="11">
        <f t="shared" si="3"/>
        <v>4</v>
      </c>
      <c r="H18" s="11">
        <f t="shared" si="4"/>
        <v>5</v>
      </c>
      <c r="I18" s="11">
        <f t="shared" si="5"/>
        <v>8</v>
      </c>
      <c r="J18" s="11">
        <f t="shared" si="6"/>
        <v>14</v>
      </c>
      <c r="K18" s="11">
        <f t="shared" si="7"/>
        <v>-6</v>
      </c>
      <c r="L18" s="132">
        <f t="shared" si="8"/>
        <v>7</v>
      </c>
      <c r="M18" s="139">
        <f t="shared" si="10"/>
        <v>0.23333333333333331</v>
      </c>
      <c r="N18" s="15">
        <f t="shared" si="11"/>
        <v>30</v>
      </c>
      <c r="O18" s="2">
        <v>10</v>
      </c>
      <c r="P18" s="180" t="s">
        <v>111</v>
      </c>
      <c r="Q18" s="1">
        <f>IF(Jogos!C27&lt;&gt;"",1,0)+IF(Jogos!L27&lt;&gt;"",1,0)+IF(Jogos!E54&lt;&gt;"",1,0)+IF(Jogos!J54&lt;&gt;"",1,0)+IF(Jogos!C82&lt;&gt;"",1,0)+IF(Jogos!L82&lt;&gt;"",1,0)+IF(Jogos!E110&lt;&gt;"",1,0)+IF(Jogos!J110&lt;&gt;"",1,0)+IF(Jogos!C138&lt;&gt;"",1,0)+IF(Jogos!L138&lt;&gt;"",1,0)+IF(Jogos!E166&lt;&gt;"",1,0)</f>
        <v>10</v>
      </c>
      <c r="R18" s="1">
        <f>IF(Jogos!C27&gt;Jogos!E27,1,0)+IF(Jogos!L27&gt;Jogos!J27,1,0)+IF(Jogos!E54&gt;Jogos!C54,1,0)+IF(Jogos!J54&gt;Jogos!L54,1,0)+IF(Jogos!C82&gt;Jogos!E82,1,0)+IF(Jogos!L82&gt;Jogos!J82,1,0)+IF(Jogos!E110&gt;Jogos!C110,1,0)+IF(Jogos!J110&gt;Jogos!L110,1,0)+IF(Jogos!C138&gt;Jogos!E138,1,0)+IF(Jogos!L138&gt;Jogos!J138,1,0)+IF(Jogos!E166&gt;Jogos!C166,1,0)</f>
        <v>1</v>
      </c>
      <c r="S18" s="1">
        <f t="shared" si="15"/>
        <v>5</v>
      </c>
      <c r="T18" s="1">
        <f>IF(Jogos!C27&lt;Jogos!E27,1,0)+IF(Jogos!L27&lt;Jogos!J27,1,0)+IF(Jogos!E54&lt;Jogos!C54,1,0)+IF(Jogos!J54&lt;Jogos!L54,1,0)+IF(Jogos!C82&lt;Jogos!E82,1,0)+IF(Jogos!L82&lt;Jogos!J82,1,0)+IF(Jogos!E110&lt;Jogos!C110,1,0)+IF(Jogos!J110&lt;Jogos!L110,1,0)+IF(Jogos!C138&lt;Jogos!E138,1,0)+IF(Jogos!L138&lt;Jogos!J138,1,0)+IF(Jogos!E166&lt;Jogos!C166,1,0)+IF(Jogos!J166&lt;Jogos!L166,1,0)</f>
        <v>4</v>
      </c>
      <c r="U18" s="3">
        <f>Jogos!C27+Jogos!L27+Jogos!E54+Jogos!J54+Jogos!C82+Jogos!L82+Jogos!E110+Jogos!J110+Jogos!C138+Jogos!L138+Jogos!E166</f>
        <v>10</v>
      </c>
      <c r="V18" s="1">
        <f>Jogos!E27+Jogos!J27+Jogos!C54+Jogos!L54+Jogos!E82+Jogos!J82+Jogos!C110+Jogos!L110+Jogos!E138+Jogos!J138+Jogos!C166</f>
        <v>13</v>
      </c>
      <c r="W18" s="1">
        <f t="shared" si="16"/>
        <v>-3</v>
      </c>
      <c r="X18" s="1">
        <f t="shared" si="17"/>
        <v>8</v>
      </c>
      <c r="Y18" s="2">
        <v>10</v>
      </c>
      <c r="AA18" s="41">
        <f t="shared" si="9"/>
        <v>80147101003</v>
      </c>
      <c r="AD18" s="72">
        <v>10</v>
      </c>
      <c r="AE18" s="72">
        <f>LARGE(AA9:AA19,AD18)</f>
        <v>70144081006</v>
      </c>
      <c r="AG18" s="72">
        <v>10</v>
      </c>
      <c r="AH18" s="72">
        <f>MATCH(AE18,AA9:AA19,0)</f>
        <v>7</v>
      </c>
    </row>
    <row r="19" spans="1:34" ht="23.25" customHeight="1" x14ac:dyDescent="0.25">
      <c r="A19" s="73"/>
      <c r="B19" s="181"/>
      <c r="C19" s="132" t="s">
        <v>41</v>
      </c>
      <c r="D19" s="138" t="str">
        <f t="shared" si="0"/>
        <v>Galatasaray</v>
      </c>
      <c r="E19" s="138">
        <f t="shared" si="1"/>
        <v>0</v>
      </c>
      <c r="F19" s="138">
        <f t="shared" si="2"/>
        <v>0</v>
      </c>
      <c r="G19" s="138">
        <f t="shared" si="3"/>
        <v>0</v>
      </c>
      <c r="H19" s="138">
        <f t="shared" si="4"/>
        <v>0</v>
      </c>
      <c r="I19" s="138">
        <f t="shared" si="5"/>
        <v>0</v>
      </c>
      <c r="J19" s="138">
        <f t="shared" si="6"/>
        <v>0</v>
      </c>
      <c r="K19" s="138">
        <f t="shared" si="7"/>
        <v>0</v>
      </c>
      <c r="L19" s="132">
        <f t="shared" si="8"/>
        <v>0</v>
      </c>
      <c r="M19" s="137">
        <f t="shared" si="10"/>
        <v>0</v>
      </c>
      <c r="N19" s="15">
        <f t="shared" si="11"/>
        <v>0</v>
      </c>
      <c r="O19" s="2">
        <v>11</v>
      </c>
      <c r="P19" s="180" t="s">
        <v>110</v>
      </c>
      <c r="Q19" s="1">
        <f>IF(Jogos!C29&lt;&gt;"",1,0)+IF(Jogos!L29&lt;&gt;"",1,0)+IF(Jogos!E56&lt;&gt;"",1,0)+IF(Jogos!J56&lt;&gt;"",1,0)+IF(Jogos!C84&lt;&gt;"",1,0)+IF(Jogos!L84&lt;&gt;"",1,0)+IF(Jogos!E112&lt;&gt;"",1,0)+IF(Jogos!J112&lt;&gt;"",1,0)+IF(Jogos!C140&lt;&gt;"",1,0)+IF(Jogos!L140&lt;&gt;"",1,0)+IF(Jogos!E168&lt;&gt;"",1,0)</f>
        <v>10</v>
      </c>
      <c r="R19" s="1">
        <f>IF(Jogos!C29&gt;Jogos!E29,1,0)+IF(Jogos!L29&gt;Jogos!J29,1,0)+IF(Jogos!E56&gt;Jogos!C56,1,0)+IF(Jogos!J56&gt;Jogos!L56,1,0)+IF(Jogos!C84&gt;Jogos!E84,1,0)+IF(Jogos!L84&gt;Jogos!J84,1,0)+IF(Jogos!E112&gt;Jogos!C112,1,0)+IF(Jogos!J112&gt;Jogos!L112,1,0)+IF(Jogos!C140&gt;Jogos!E140,1,0)+IF(Jogos!L140&gt;Jogos!J140,1,0)+IF(Jogos!E168&gt;Jogos!C168,1,0)</f>
        <v>2</v>
      </c>
      <c r="S19" s="1">
        <f t="shared" si="15"/>
        <v>1</v>
      </c>
      <c r="T19" s="1">
        <f>IF(Jogos!C29&lt;Jogos!E29,1,0)+IF(Jogos!L29&lt;Jogos!J29,1,0)+IF(Jogos!E56&lt;Jogos!C56,1,0)+IF(Jogos!J56&lt;Jogos!L56,1,0)+IF(Jogos!C84&lt;Jogos!E84,1,0)+IF(Jogos!L84&lt;Jogos!J84,1,0)+IF(Jogos!E112&lt;Jogos!C112,1,0)+IF(Jogos!J112&lt;Jogos!L112,1,0)+IF(Jogos!C140&lt;Jogos!E140,1,0)+IF(Jogos!L140&lt;Jogos!J140,1,0)+IF(Jogos!E168&lt;Jogos!C168,1,0)+IF(Jogos!J168&lt;Jogos!L168,1,0)</f>
        <v>7</v>
      </c>
      <c r="U19" s="3">
        <f>Jogos!C29+Jogos!L29+Jogos!E56+Jogos!J56+Jogos!C84+Jogos!L84+Jogos!E112+Jogos!J112+Jogos!C140+Jogos!L140+Jogos!E168</f>
        <v>3</v>
      </c>
      <c r="V19" s="1">
        <f>Jogos!E29+Jogos!J29+Jogos!C56+Jogos!L56+Jogos!E84+Jogos!J84+Jogos!C112+Jogos!L112+Jogos!E140+Jogos!J140+Jogos!C168</f>
        <v>12</v>
      </c>
      <c r="W19" s="78">
        <f t="shared" ref="W19" si="18">U19-V19</f>
        <v>-9</v>
      </c>
      <c r="X19" s="78">
        <f t="shared" ref="X19" si="19">R19*3+S19</f>
        <v>7</v>
      </c>
      <c r="Y19" s="79">
        <v>11</v>
      </c>
      <c r="AA19" s="41">
        <f t="shared" si="9"/>
        <v>70241031002</v>
      </c>
      <c r="AD19" s="72">
        <v>11</v>
      </c>
      <c r="AE19" s="72">
        <f>LARGE(AA9:AA19,AD19)</f>
        <v>50000007</v>
      </c>
      <c r="AG19" s="72">
        <v>11</v>
      </c>
      <c r="AH19" s="72">
        <f>MATCH(AE19,AA9:AA19,0)</f>
        <v>6</v>
      </c>
    </row>
    <row r="20" spans="1:34" ht="18" customHeight="1" x14ac:dyDescent="0.25">
      <c r="A20" s="73"/>
      <c r="B20" s="73"/>
      <c r="N20" s="183"/>
      <c r="P20" s="180"/>
      <c r="Q20" s="1"/>
      <c r="R20" s="1"/>
      <c r="S20" s="1"/>
      <c r="T20" s="3"/>
      <c r="U20" s="3"/>
      <c r="V20" s="1"/>
    </row>
    <row r="21" spans="1:34" ht="18" customHeight="1" x14ac:dyDescent="0.25">
      <c r="A21" s="73"/>
      <c r="B21" s="73"/>
      <c r="N21" s="183"/>
      <c r="P21" s="180"/>
    </row>
    <row r="22" spans="1:34" ht="18" customHeight="1" x14ac:dyDescent="0.25">
      <c r="A22" s="73"/>
      <c r="B22" s="73"/>
      <c r="C22" s="184" t="s">
        <v>33</v>
      </c>
      <c r="D22" s="184"/>
      <c r="E22" s="185"/>
      <c r="F22" s="185"/>
      <c r="G22" s="185"/>
      <c r="H22" s="185"/>
      <c r="I22" s="185"/>
      <c r="J22" s="185"/>
      <c r="K22" s="185"/>
      <c r="L22" s="185"/>
      <c r="M22" s="177"/>
      <c r="N22" s="186"/>
    </row>
    <row r="23" spans="1:34" ht="18.75" customHeight="1" x14ac:dyDescent="0.25">
      <c r="A23" s="73"/>
      <c r="B23" s="73"/>
      <c r="C23" s="133" t="s">
        <v>0</v>
      </c>
      <c r="D23" s="133" t="s">
        <v>1</v>
      </c>
      <c r="E23" s="133" t="s">
        <v>2</v>
      </c>
      <c r="F23" s="133" t="s">
        <v>3</v>
      </c>
      <c r="G23" s="133" t="s">
        <v>4</v>
      </c>
      <c r="H23" s="133" t="s">
        <v>5</v>
      </c>
      <c r="I23" s="133" t="s">
        <v>6</v>
      </c>
      <c r="J23" s="133" t="s">
        <v>7</v>
      </c>
      <c r="K23" s="133" t="s">
        <v>8</v>
      </c>
      <c r="L23" s="10" t="s">
        <v>9</v>
      </c>
      <c r="M23" s="134" t="s">
        <v>128</v>
      </c>
      <c r="N23" s="135"/>
      <c r="O23" s="2"/>
      <c r="P23" s="1" t="s">
        <v>1</v>
      </c>
      <c r="Q23" s="1" t="s">
        <v>2</v>
      </c>
      <c r="R23" s="1" t="s">
        <v>3</v>
      </c>
      <c r="S23" s="1" t="s">
        <v>4</v>
      </c>
      <c r="T23" s="1" t="s">
        <v>5</v>
      </c>
      <c r="U23" s="1" t="s">
        <v>6</v>
      </c>
      <c r="V23" s="1" t="s">
        <v>7</v>
      </c>
      <c r="W23" s="1" t="s">
        <v>8</v>
      </c>
      <c r="X23" s="1" t="s">
        <v>9</v>
      </c>
      <c r="Y23" s="2" t="s">
        <v>19</v>
      </c>
    </row>
    <row r="24" spans="1:34" ht="18" customHeight="1" x14ac:dyDescent="0.25">
      <c r="A24" s="73"/>
      <c r="B24" s="73"/>
      <c r="C24" s="19"/>
      <c r="D24" s="8"/>
      <c r="E24" s="8"/>
      <c r="F24" s="8"/>
      <c r="G24" s="8"/>
      <c r="H24" s="8"/>
      <c r="I24" s="8"/>
      <c r="J24" s="8"/>
      <c r="K24" s="8"/>
      <c r="L24" s="8"/>
      <c r="M24" s="7"/>
      <c r="N24" s="136"/>
      <c r="O24" s="2"/>
      <c r="P24" s="1"/>
      <c r="Q24" s="1"/>
      <c r="R24" s="1"/>
      <c r="S24" s="1"/>
      <c r="T24" s="1"/>
      <c r="U24" s="1"/>
      <c r="V24" s="1"/>
      <c r="W24" s="1"/>
      <c r="X24" s="1"/>
      <c r="Y24" s="2"/>
    </row>
    <row r="25" spans="1:34" ht="23.25" customHeight="1" x14ac:dyDescent="0.25">
      <c r="A25" s="73"/>
      <c r="B25" s="181"/>
      <c r="C25" s="131" t="s">
        <v>10</v>
      </c>
      <c r="D25" s="138" t="str">
        <f t="shared" ref="D25:D35" si="20">VLOOKUP(AH25,$O$25:$Y$35,2)</f>
        <v>Celta De Vigo</v>
      </c>
      <c r="E25" s="138">
        <f t="shared" ref="E25:E35" si="21">VLOOKUP(AH25,$O$25:$Y$35,3)</f>
        <v>10</v>
      </c>
      <c r="F25" s="138">
        <f t="shared" ref="F25:F35" si="22">VLOOKUP(AH25,$O$25:$Y$35,4)</f>
        <v>8</v>
      </c>
      <c r="G25" s="138">
        <f t="shared" ref="G25:G35" si="23">VLOOKUP(AH25,$O$25:$Y$35,5)</f>
        <v>1</v>
      </c>
      <c r="H25" s="138">
        <f t="shared" ref="H25:H35" si="24">VLOOKUP(AH25,$O$25:$Y$35,6)</f>
        <v>1</v>
      </c>
      <c r="I25" s="138">
        <f t="shared" ref="I25:I35" si="25">VLOOKUP(AH25,$O$25:$Y$35,7)</f>
        <v>19</v>
      </c>
      <c r="J25" s="138">
        <f t="shared" ref="J25:J35" si="26">VLOOKUP(AH25,$O$25:$Y$35,8)</f>
        <v>4</v>
      </c>
      <c r="K25" s="138">
        <f t="shared" ref="K25:K35" si="27">VLOOKUP(AH25,$O$25:$Y$35,9)</f>
        <v>15</v>
      </c>
      <c r="L25" s="131">
        <f t="shared" ref="L25:L35" si="28">VLOOKUP(AH25,$O$25:$Y$35,10)</f>
        <v>25</v>
      </c>
      <c r="M25" s="137">
        <f t="shared" ref="M25:M35" si="29">IF(E25&gt;0,((L25*100)/N25)/100,0)</f>
        <v>0.83333333333333326</v>
      </c>
      <c r="N25" s="15">
        <f>E25*3</f>
        <v>30</v>
      </c>
      <c r="O25" s="2">
        <v>1</v>
      </c>
      <c r="P25" s="187" t="s">
        <v>123</v>
      </c>
      <c r="Q25" s="1">
        <f>IF(Jogos!E9&lt;&gt;"",1,0)+IF(Jogos!J21&lt;&gt;"",1,0)+IF(Jogos!C38&lt;&gt;"",1,0)+IF(Jogos!L50&lt;&gt;"",1,0)+IF(Jogos!E68&lt;&gt;"",1,0)+IF(Jogos!J80&lt;&gt;"",1,0)+IF(Jogos!C98&lt;&gt;"",1,0)+IF(Jogos!L110&lt;&gt;"",1,0)+IF(Jogos!E128&lt;&gt;"",1,0)+IF(Jogos!J140&lt;&gt;"",1,0)+IF(Jogos!C158&lt;&gt;"",1,0)</f>
        <v>10</v>
      </c>
      <c r="R25" s="1">
        <f>IF(Jogos!E9&gt;Jogos!C9,1,0)+IF(Jogos!J21&gt;Jogos!L21,1,0)+IF(Jogos!C38&gt;Jogos!E38,1,0)+IF(Jogos!L50&gt;Jogos!J50,1,0)+IF(Jogos!E68&gt;Jogos!C68,1,0)+IF(Jogos!J80&gt;Jogos!L80,1,0)+IF(Jogos!C98&gt;Jogos!E98,1,0)+IF(Jogos!L110&gt;Jogos!J110,1,0)+IF(Jogos!E128&gt;Jogos!C128,1,0)+IF(Jogos!J140&gt;Jogos!L140,1,0)+IF(Jogos!C158&gt;Jogos!E158,1,0)</f>
        <v>3</v>
      </c>
      <c r="S25" s="1">
        <f t="shared" ref="S25:S33" si="30">Q25-R25-T25</f>
        <v>2</v>
      </c>
      <c r="T25" s="1">
        <f>IF(Jogos!E9&lt;Jogos!C9,1,0)+IF(Jogos!J21&lt;Jogos!L21,1,0)+IF(Jogos!C38&lt;Jogos!E38,1,0)+IF(Jogos!L50&lt;Jogos!J50,1,0)+IF(Jogos!E68&lt;Jogos!C68,1,0)+IF(Jogos!J80&lt;Jogos!L80,1,0)+IF(Jogos!C98&lt;Jogos!E98,1,0)+IF(Jogos!L110&lt;Jogos!J110,1,0)+IF(Jogos!E128&lt;Jogos!C128,1,0)+IF(Jogos!J140&lt;Jogos!L140,1,0)+IF(Jogos!C158&lt;Jogos!E158,1,0)</f>
        <v>5</v>
      </c>
      <c r="U25" s="3">
        <f>Jogos!E9+Jogos!J21+Jogos!C38+Jogos!L50+Jogos!E68+Jogos!J80+Jogos!C98+Jogos!L110+Jogos!E128+Jogos!J140+Jogos!C158</f>
        <v>13</v>
      </c>
      <c r="V25" s="3">
        <f>Jogos!C9+Jogos!L21+Jogos!E38+Jogos!J50+Jogos!C68+Jogos!L80+Jogos!E98+Jogos!J110+Jogos!C128+Jogos!L140+Jogos!E158</f>
        <v>16</v>
      </c>
      <c r="W25" s="1">
        <f t="shared" ref="W25:W33" si="31">U25-V25</f>
        <v>-3</v>
      </c>
      <c r="X25" s="1">
        <f t="shared" ref="X25:X33" si="32">R25*3+S25</f>
        <v>11</v>
      </c>
      <c r="Y25" s="2">
        <v>12</v>
      </c>
      <c r="AA25" s="41">
        <f t="shared" ref="AA25:AA35" si="33">(10^10)*X25+(10^8)*R25+(10^6)*(50+W25)+(10^4)*U25+(10^2)*Q25+(13-O25)</f>
        <v>110347131012</v>
      </c>
      <c r="AD25" s="72">
        <v>1</v>
      </c>
      <c r="AE25" s="72">
        <f>LARGE(AA25:AA35,AD25)</f>
        <v>250865191005</v>
      </c>
      <c r="AG25" s="72">
        <v>1</v>
      </c>
      <c r="AH25" s="72">
        <f>MATCH(AE25,AA25:AA35,0)</f>
        <v>8</v>
      </c>
    </row>
    <row r="26" spans="1:34" ht="23.25" customHeight="1" x14ac:dyDescent="0.25">
      <c r="A26" s="73"/>
      <c r="B26" s="181"/>
      <c r="C26" s="131" t="s">
        <v>11</v>
      </c>
      <c r="D26" s="11" t="str">
        <f t="shared" si="20"/>
        <v>P S V</v>
      </c>
      <c r="E26" s="11">
        <f t="shared" si="21"/>
        <v>10</v>
      </c>
      <c r="F26" s="11">
        <f t="shared" si="22"/>
        <v>6</v>
      </c>
      <c r="G26" s="11">
        <f t="shared" si="23"/>
        <v>1</v>
      </c>
      <c r="H26" s="11">
        <f t="shared" si="24"/>
        <v>3</v>
      </c>
      <c r="I26" s="11">
        <f t="shared" si="25"/>
        <v>12</v>
      </c>
      <c r="J26" s="11">
        <f t="shared" si="26"/>
        <v>9</v>
      </c>
      <c r="K26" s="11">
        <f t="shared" si="27"/>
        <v>3</v>
      </c>
      <c r="L26" s="131">
        <f t="shared" si="28"/>
        <v>19</v>
      </c>
      <c r="M26" s="140">
        <f t="shared" si="29"/>
        <v>0.6333333333333333</v>
      </c>
      <c r="N26" s="15">
        <f t="shared" ref="N26:N35" si="34">E26*3</f>
        <v>30</v>
      </c>
      <c r="O26" s="2">
        <v>2</v>
      </c>
      <c r="P26" s="187" t="s">
        <v>114</v>
      </c>
      <c r="Q26" s="1">
        <f>IF(Jogos!E11&lt;&gt;"",1,0)+IF(Jogos!J23&lt;&gt;"",1,0)+IF(Jogos!C40&lt;&gt;"",1,0)+IF(Jogos!L52&lt;&gt;"",1,0)+IF(Jogos!E70&lt;&gt;"",1,0)+IF(Jogos!J82&lt;&gt;"",1,0)+IF(Jogos!C100&lt;&gt;"",1,0)+IF(Jogos!L112&lt;&gt;"",1,0)+IF(Jogos!E130&lt;&gt;"",1,0)+IF(Jogos!J120&lt;&gt;"",1,0)+IF(Jogos!C160&lt;&gt;"",1,0)</f>
        <v>10</v>
      </c>
      <c r="R26" s="1">
        <f>IF(Jogos!E11&gt;Jogos!C11,1,0)+IF(Jogos!J23&gt;Jogos!L23,1,0)+IF(Jogos!C40&gt;Jogos!E40,1,0)+IF(Jogos!L52&gt;Jogos!J52,1,0)+IF(Jogos!E70&gt;Jogos!C70,1,0)+IF(Jogos!J82&gt;Jogos!L82,1,0)+IF(Jogos!C100&gt;Jogos!E100,1,0)+IF(Jogos!L112&gt;Jogos!J112,1,0)+IF(Jogos!E130&gt;Jogos!C130,1,0)+IF(Jogos!J120&gt;Jogos!L120,1,0)+IF(Jogos!C160&gt;Jogos!E160,1,0)</f>
        <v>6</v>
      </c>
      <c r="S26" s="1">
        <f t="shared" si="30"/>
        <v>1</v>
      </c>
      <c r="T26" s="3">
        <f>IF(Jogos!E11&lt;Jogos!C11,1,0)+IF(Jogos!J23&lt;Jogos!L23,1,0)+IF(Jogos!C40&lt;Jogos!E40,1,0)+IF(Jogos!L52&lt;Jogos!J52,1,0)+IF(Jogos!E70&lt;Jogos!C70,1,0)+IF(Jogos!J82&lt;Jogos!L82,1,0)+IF(Jogos!C100&lt;Jogos!E100,1,0)+IF(Jogos!L112&lt;Jogos!J112,1,0)+IF(Jogos!E130&lt;Jogos!C130,1,0)+IF(Jogos!J120&lt;Jogos!L120,1,0)+IF(Jogos!C160&lt;Jogos!E160,1,0)</f>
        <v>3</v>
      </c>
      <c r="U26" s="3">
        <f>Jogos!E11+Jogos!J23+Jogos!C40+Jogos!L52+Jogos!E70+Jogos!J82+Jogos!C100+Jogos!L112+Jogos!E130+Jogos!J120+Jogos!C160</f>
        <v>12</v>
      </c>
      <c r="V26" s="3">
        <f>Jogos!C11+Jogos!L23+Jogos!E40+Jogos!J52+Jogos!C70+Jogos!L82+Jogos!E100+Jogos!J112+Jogos!C130+Jogos!L120+Jogos!E160</f>
        <v>9</v>
      </c>
      <c r="W26" s="1">
        <f t="shared" si="31"/>
        <v>3</v>
      </c>
      <c r="X26" s="1">
        <f t="shared" si="32"/>
        <v>19</v>
      </c>
      <c r="Y26" s="2">
        <v>13</v>
      </c>
      <c r="AA26" s="41">
        <f t="shared" si="33"/>
        <v>190653121011</v>
      </c>
      <c r="AD26" s="72">
        <v>2</v>
      </c>
      <c r="AE26" s="72">
        <f>LARGE(AA25:AA35,AD26)</f>
        <v>190653121011</v>
      </c>
      <c r="AG26" s="72">
        <v>2</v>
      </c>
      <c r="AH26" s="72">
        <f>MATCH(AE26,AA25:AA35,0)</f>
        <v>2</v>
      </c>
    </row>
    <row r="27" spans="1:34" ht="23.25" customHeight="1" x14ac:dyDescent="0.25">
      <c r="A27" s="73"/>
      <c r="B27" s="181"/>
      <c r="C27" s="131" t="s">
        <v>12</v>
      </c>
      <c r="D27" s="138" t="str">
        <f t="shared" si="20"/>
        <v>Crystal Palace</v>
      </c>
      <c r="E27" s="138">
        <f t="shared" si="21"/>
        <v>10</v>
      </c>
      <c r="F27" s="138">
        <f t="shared" si="22"/>
        <v>5</v>
      </c>
      <c r="G27" s="138">
        <f t="shared" si="23"/>
        <v>4</v>
      </c>
      <c r="H27" s="138">
        <f t="shared" si="24"/>
        <v>1</v>
      </c>
      <c r="I27" s="138">
        <f t="shared" si="25"/>
        <v>7</v>
      </c>
      <c r="J27" s="138">
        <f t="shared" si="26"/>
        <v>3</v>
      </c>
      <c r="K27" s="138">
        <f t="shared" si="27"/>
        <v>4</v>
      </c>
      <c r="L27" s="131">
        <f t="shared" si="28"/>
        <v>19</v>
      </c>
      <c r="M27" s="137">
        <f t="shared" si="29"/>
        <v>0.6333333333333333</v>
      </c>
      <c r="N27" s="15">
        <f t="shared" si="34"/>
        <v>30</v>
      </c>
      <c r="O27" s="2">
        <v>3</v>
      </c>
      <c r="P27" s="187" t="s">
        <v>115</v>
      </c>
      <c r="Q27" s="1">
        <f>IF(Jogos!E13&lt;&gt;"",1,0)+IF(Jogos!J25&lt;&gt;"",1,0)+IF(Jogos!C42&lt;&gt;"",1,0)+IF(Jogos!L54&lt;&gt;"",1,0)+IF(Jogos!E72&lt;&gt;"",1,0)+IF(Jogos!J84&lt;&gt;"",1,0)+IF(Jogos!C102&lt;&gt;"",1,0)+IF(Jogos!L92&lt;&gt;"",1,0)+IF(Jogos!E132&lt;&gt;"",1,0)+IF(Jogos!J122&lt;&gt;"",1,0)+IF(Jogos!C162&lt;&gt;"",1,0)</f>
        <v>10</v>
      </c>
      <c r="R27" s="1">
        <f>IF(Jogos!E13&gt;Jogos!C13,1,0)+IF(Jogos!J25&gt;Jogos!L25,1,0)+IF(Jogos!C42&gt;Jogos!E42,1,0)+IF(Jogos!L54&gt;Jogos!J54,1,0)+IF(Jogos!E72&gt;Jogos!C72,1,0)+IF(Jogos!J84&gt;Jogos!L84,1,0)+IF(Jogos!C102&gt;Jogos!E102,1,0)+IF(Jogos!L92&gt;Jogos!J92,1,0)+IF(Jogos!E132&gt;Jogos!C132,1,0)+IF(Jogos!J122&gt;Jogos!L122,1,0)+IF(Jogos!C162&gt;Jogos!E162,1,0)</f>
        <v>5</v>
      </c>
      <c r="S27" s="1">
        <f t="shared" si="30"/>
        <v>4</v>
      </c>
      <c r="T27" s="3">
        <f>IF(Jogos!E13&lt;Jogos!C13,1,0)+IF(Jogos!J25&lt;Jogos!L25,1,0)+IF(Jogos!C42&lt;Jogos!E42,1,0)+IF(Jogos!L54&lt;Jogos!J54,1,0)+IF(Jogos!E72&lt;Jogos!C72,1,0)+IF(Jogos!J84&lt;Jogos!L84,1,0)+IF(Jogos!C102&lt;Jogos!E102,1,0)+IF(Jogos!L92&lt;Jogos!J92,1,0)+IF(Jogos!E132&lt;Jogos!C132,1,0)+IF(Jogos!J122&lt;Jogos!L122,1,0)+IF(Jogos!C162&lt;Jogos!E162,1,0)</f>
        <v>1</v>
      </c>
      <c r="U27" s="3">
        <f>Jogos!E13+Jogos!J25+Jogos!C42+Jogos!L54+Jogos!E72+Jogos!J84+Jogos!C102+Jogos!L92+Jogos!E132+Jogos!J122+Jogos!C162</f>
        <v>7</v>
      </c>
      <c r="V27" s="3">
        <f>Jogos!C13+Jogos!L25+Jogos!E42+Jogos!J54+Jogos!C72+Jogos!L84+Jogos!E102+Jogos!J92+Jogos!C132+Jogos!L122+Jogos!E162</f>
        <v>3</v>
      </c>
      <c r="W27" s="1">
        <f t="shared" si="31"/>
        <v>4</v>
      </c>
      <c r="X27" s="1">
        <f t="shared" si="32"/>
        <v>19</v>
      </c>
      <c r="Y27" s="2">
        <v>14</v>
      </c>
      <c r="AA27" s="41">
        <f t="shared" si="33"/>
        <v>190554071010</v>
      </c>
      <c r="AD27" s="72">
        <v>3</v>
      </c>
      <c r="AE27" s="72">
        <f>LARGE(AA25:AA35,AD27)</f>
        <v>190554071010</v>
      </c>
      <c r="AG27" s="72">
        <v>3</v>
      </c>
      <c r="AH27" s="72">
        <f>MATCH(AE27,AA25:AA35,0)</f>
        <v>3</v>
      </c>
    </row>
    <row r="28" spans="1:34" ht="23.25" customHeight="1" x14ac:dyDescent="0.25">
      <c r="A28" s="73"/>
      <c r="B28" s="181"/>
      <c r="C28" s="131" t="s">
        <v>13</v>
      </c>
      <c r="D28" s="11" t="str">
        <f t="shared" si="20"/>
        <v>Torino</v>
      </c>
      <c r="E28" s="11">
        <f t="shared" si="21"/>
        <v>10</v>
      </c>
      <c r="F28" s="11">
        <f t="shared" si="22"/>
        <v>5</v>
      </c>
      <c r="G28" s="11">
        <f t="shared" si="23"/>
        <v>2</v>
      </c>
      <c r="H28" s="11">
        <f t="shared" si="24"/>
        <v>3</v>
      </c>
      <c r="I28" s="11">
        <f t="shared" si="25"/>
        <v>16</v>
      </c>
      <c r="J28" s="11">
        <f t="shared" si="26"/>
        <v>12</v>
      </c>
      <c r="K28" s="11">
        <f t="shared" si="27"/>
        <v>4</v>
      </c>
      <c r="L28" s="131">
        <f t="shared" si="28"/>
        <v>17</v>
      </c>
      <c r="M28" s="140">
        <f t="shared" si="29"/>
        <v>0.56666666666666665</v>
      </c>
      <c r="N28" s="15">
        <f t="shared" si="34"/>
        <v>30</v>
      </c>
      <c r="O28" s="2">
        <v>4</v>
      </c>
      <c r="P28" s="187" t="s">
        <v>116</v>
      </c>
      <c r="Q28" s="1">
        <f>IF(Jogos!E15&lt;&gt;"",1,0)+IF(Jogos!J27&lt;&gt;"",1,0)+IF(Jogos!C44&lt;&gt;"",1,0)+IF(Jogos!L56&lt;&gt;"",1,0)+IF(Jogos!E74&lt;&gt;"",1,0)+IF(Jogos!J64&lt;&gt;"",1,0)+IF(Jogos!C104&lt;&gt;"",1,0)+IF(Jogos!L94&lt;&gt;"",1,0)+IF(Jogos!E134&lt;&gt;"",1,0)+IF(Jogos!J124&lt;&gt;"",1,0)+IF(Jogos!C164&lt;&gt;"",1,0)</f>
        <v>10</v>
      </c>
      <c r="R28" s="1">
        <f>IF(Jogos!E15&gt;Jogos!C15,1,0)+IF(Jogos!J27&gt;Jogos!L27,1,0)+IF(Jogos!C44&gt;Jogos!E44,1,0)+IF(Jogos!L56&gt;Jogos!J56,1,0)+IF(Jogos!E74&gt;Jogos!C74,1,0)+IF(Jogos!J64&gt;Jogos!L64,1,0)+IF(Jogos!C104&gt;Jogos!E104,1,0)+IF(Jogos!L94&gt;Jogos!J94,1,0)+IF(Jogos!E134&gt;Jogos!C134,1,0)+IF(Jogos!J124&gt;Jogos!L124,1,0)+IF(Jogos!C164&gt;Jogos!E164,1,0)</f>
        <v>2</v>
      </c>
      <c r="S28" s="1">
        <f t="shared" si="30"/>
        <v>5</v>
      </c>
      <c r="T28" s="3">
        <f>IF(Jogos!E15&lt;Jogos!C15,1,0)+IF(Jogos!J27&lt;Jogos!L27,1,0)+IF(Jogos!C44&lt;Jogos!E44,1,0)+IF(Jogos!L56&lt;Jogos!J56,1,0)+IF(Jogos!E74&lt;Jogos!C74,1,0)+IF(Jogos!J64&lt;Jogos!L64,1,0)+IF(Jogos!C104&lt;Jogos!E104,1,0)+IF(Jogos!L94&lt;Jogos!J94,1,0)+IF(Jogos!E134&lt;Jogos!C134,1,0)+IF(Jogos!J124&lt;Jogos!L124,1,0)+IF(Jogos!C164&lt;Jogos!E164,1,0)</f>
        <v>3</v>
      </c>
      <c r="U28" s="3">
        <f>Jogos!E15+Jogos!J27+Jogos!C44+Jogos!L56+Jogos!E74+Jogos!J64+Jogos!C104+Jogos!L94+Jogos!E134+Jogos!J124+Jogos!C164</f>
        <v>8</v>
      </c>
      <c r="V28" s="3">
        <f>Jogos!C15+Jogos!L27+Jogos!E44+Jogos!J56+Jogos!C74+Jogos!L64+Jogos!E104+Jogos!J94+Jogos!C134+Jogos!L124+Jogos!E164</f>
        <v>10</v>
      </c>
      <c r="W28" s="1">
        <f t="shared" si="31"/>
        <v>-2</v>
      </c>
      <c r="X28" s="1">
        <f t="shared" si="32"/>
        <v>11</v>
      </c>
      <c r="Y28" s="2">
        <v>15</v>
      </c>
      <c r="AA28" s="41">
        <f t="shared" si="33"/>
        <v>110248081009</v>
      </c>
      <c r="AD28" s="72">
        <v>4</v>
      </c>
      <c r="AE28" s="72">
        <f>LARGE(AA25:AA35,AD28)</f>
        <v>170554161003</v>
      </c>
      <c r="AG28" s="72">
        <v>4</v>
      </c>
      <c r="AH28" s="72">
        <f>MATCH(AE28,AA25:AA35,0)</f>
        <v>10</v>
      </c>
    </row>
    <row r="29" spans="1:34" ht="23.25" customHeight="1" x14ac:dyDescent="0.25">
      <c r="A29" s="73"/>
      <c r="B29" s="181"/>
      <c r="C29" s="131" t="s">
        <v>14</v>
      </c>
      <c r="D29" s="138" t="str">
        <f t="shared" si="20"/>
        <v>Villarreal</v>
      </c>
      <c r="E29" s="138">
        <f t="shared" si="21"/>
        <v>10</v>
      </c>
      <c r="F29" s="138">
        <f t="shared" si="22"/>
        <v>4</v>
      </c>
      <c r="G29" s="138">
        <f t="shared" si="23"/>
        <v>3</v>
      </c>
      <c r="H29" s="138">
        <f t="shared" si="24"/>
        <v>3</v>
      </c>
      <c r="I29" s="138">
        <f t="shared" si="25"/>
        <v>9</v>
      </c>
      <c r="J29" s="138">
        <f t="shared" si="26"/>
        <v>9</v>
      </c>
      <c r="K29" s="138">
        <f t="shared" si="27"/>
        <v>0</v>
      </c>
      <c r="L29" s="131">
        <f t="shared" si="28"/>
        <v>15</v>
      </c>
      <c r="M29" s="137">
        <f t="shared" si="29"/>
        <v>0.5</v>
      </c>
      <c r="N29" s="15">
        <f t="shared" si="34"/>
        <v>30</v>
      </c>
      <c r="O29" s="2">
        <v>5</v>
      </c>
      <c r="P29" s="85" t="s">
        <v>117</v>
      </c>
      <c r="Q29" s="1">
        <f>IF(Jogos!E17&lt;&gt;"",1,0)+IF(Jogos!J29&lt;&gt;"",1,0)+IF(Jogos!C46&lt;&gt;"",1,0)+IF(Jogos!L36&lt;&gt;"",1,0)+IF(Jogos!E76&lt;&gt;"",1,0)+IF(Jogos!J66&lt;&gt;"",1,0)+IF(Jogos!C106&lt;&gt;"",1,0)+IF(Jogos!L96&lt;&gt;"",1,0)+IF(Jogos!E136&lt;&gt;"",1,0)+IF(Jogos!J126&lt;&gt;"",1,0)+IF(Jogos!C166&lt;&gt;"",1,0)</f>
        <v>10</v>
      </c>
      <c r="R29" s="1">
        <f>IF(Jogos!E17&gt;Jogos!C17,1,0)+IF(Jogos!J29&gt;Jogos!L29,1,0)+IF(Jogos!C46&gt;Jogos!E46,1,0)+IF(Jogos!L36&gt;Jogos!J36,1,0)+IF(Jogos!E76&gt;Jogos!C76,1,0)+IF(Jogos!J66&gt;Jogos!L66,1,0)+IF(Jogos!C106&gt;Jogos!E106,1,0)+IF(Jogos!L96&gt;Jogos!J96,1,0)+IF(Jogos!E136&gt;Jogos!C136,1,0)+IF(Jogos!J126&gt;Jogos!L126,1,0)+IF(Jogos!C166&gt;Jogos!E166,1,0)</f>
        <v>4</v>
      </c>
      <c r="S29" s="1">
        <f t="shared" si="30"/>
        <v>3</v>
      </c>
      <c r="T29" s="3">
        <f>IF(Jogos!E17&lt;Jogos!C17,1,0)+IF(Jogos!J29&lt;Jogos!L29,1,0)+IF(Jogos!C46&lt;Jogos!E46,1,0)+IF(Jogos!L36&lt;Jogos!J36,1,0)+IF(Jogos!E76&lt;Jogos!C76,1,0)+IF(Jogos!J66&lt;Jogos!L66,1,0)+IF(Jogos!C106&lt;Jogos!E106,1,0)+IF(Jogos!L96&lt;Jogos!J96,1,0)+IF(Jogos!E136&lt;Jogos!C136,1,0)+IF(Jogos!J126&lt;Jogos!L126,1,0)+IF(Jogos!C166&lt;Jogos!E166,1,0)</f>
        <v>3</v>
      </c>
      <c r="U29" s="3">
        <f>Jogos!E17+Jogos!J29+Jogos!C46+Jogos!L36+Jogos!E76+Jogos!J66+Jogos!C106+Jogos!L96+Jogos!E136+Jogos!J126+Jogos!C166</f>
        <v>9</v>
      </c>
      <c r="V29" s="3">
        <f>Jogos!C17+Jogos!L29+Jogos!E46+Jogos!J36+Jogos!C76+Jogos!L66+Jogos!E106+Jogos!J96+Jogos!C136+Jogos!L126+Jogos!E166</f>
        <v>9</v>
      </c>
      <c r="W29" s="1">
        <f t="shared" si="31"/>
        <v>0</v>
      </c>
      <c r="X29" s="1">
        <f t="shared" si="32"/>
        <v>15</v>
      </c>
      <c r="Y29" s="2">
        <v>16</v>
      </c>
      <c r="AA29" s="41">
        <f t="shared" si="33"/>
        <v>150450091008</v>
      </c>
      <c r="AD29" s="72">
        <v>5</v>
      </c>
      <c r="AE29" s="72">
        <f>LARGE(AA25:AA35,AD29)</f>
        <v>150450091008</v>
      </c>
      <c r="AG29" s="72">
        <v>5</v>
      </c>
      <c r="AH29" s="72">
        <f>MATCH(AE29,AA25:AA35,0)</f>
        <v>5</v>
      </c>
    </row>
    <row r="30" spans="1:34" ht="23.25" customHeight="1" x14ac:dyDescent="0.25">
      <c r="A30" s="73"/>
      <c r="B30" s="181"/>
      <c r="C30" s="131" t="s">
        <v>15</v>
      </c>
      <c r="D30" s="11" t="str">
        <f t="shared" si="20"/>
        <v>R B Leipzig</v>
      </c>
      <c r="E30" s="11">
        <f t="shared" si="21"/>
        <v>10</v>
      </c>
      <c r="F30" s="11">
        <f t="shared" si="22"/>
        <v>4</v>
      </c>
      <c r="G30" s="11">
        <f t="shared" si="23"/>
        <v>3</v>
      </c>
      <c r="H30" s="11">
        <f t="shared" si="24"/>
        <v>3</v>
      </c>
      <c r="I30" s="11">
        <f t="shared" si="25"/>
        <v>12</v>
      </c>
      <c r="J30" s="11">
        <f t="shared" si="26"/>
        <v>15</v>
      </c>
      <c r="K30" s="11">
        <f t="shared" si="27"/>
        <v>-3</v>
      </c>
      <c r="L30" s="131">
        <f t="shared" si="28"/>
        <v>15</v>
      </c>
      <c r="M30" s="140">
        <f t="shared" si="29"/>
        <v>0.5</v>
      </c>
      <c r="N30" s="15">
        <f t="shared" si="34"/>
        <v>30</v>
      </c>
      <c r="O30" s="2">
        <v>6</v>
      </c>
      <c r="P30" s="187" t="s">
        <v>118</v>
      </c>
      <c r="Q30" s="1">
        <f>IF(Jogos!E19&lt;&gt;"",1,0)+IF(Jogos!J9&lt;&gt;"",1,0)+IF(Jogos!C48&lt;&gt;"",1,0)+IF(Jogos!L38&lt;&gt;"",1,0)+IF(Jogos!E78&lt;&gt;"",1,0)+IF(Jogos!J68&lt;&gt;"",1,0)+IF(Jogos!C108&lt;&gt;"",1,0)+IF(Jogos!L98&lt;&gt;"",1,0)+IF(Jogos!E138&lt;&gt;"",1,0)+IF(Jogos!J128&lt;&gt;"",1,0)+IF(Jogos!C168&lt;&gt;"",1,0)</f>
        <v>10</v>
      </c>
      <c r="R30" s="1">
        <f>IF(Jogos!E19&gt;Jogos!C19,1,0)+IF(Jogos!J9&gt;Jogos!L9,1,0)+IF(Jogos!C48&gt;Jogos!E48,1,0)+IF(Jogos!L38&gt;Jogos!J38,1,0)+IF(Jogos!E78&gt;Jogos!C78,1,0)+IF(Jogos!J68&gt;Jogos!L68,1,0)+IF(Jogos!C108&gt;Jogos!E108,1,0)+IF(Jogos!L98&gt;Jogos!J98,1,0)+IF(Jogos!E138&gt;Jogos!C138,1,0)+IF(Jogos!J128&gt;Jogos!L128,1,0)+IF(Jogos!C168&gt;Jogos!E168,1,0)</f>
        <v>4</v>
      </c>
      <c r="S30" s="1">
        <f t="shared" si="30"/>
        <v>3</v>
      </c>
      <c r="T30" s="3">
        <f>IF(Jogos!E19&lt;Jogos!C19,1,0)+IF(Jogos!J9&lt;Jogos!L9,1,0)+IF(Jogos!C48&lt;Jogos!E48,1,0)+IF(Jogos!L38&lt;Jogos!J38,1,0)+IF(Jogos!E78&lt;Jogos!C78,1,0)+IF(Jogos!J68&lt;Jogos!L68,1,0)+IF(Jogos!C108&lt;Jogos!E108,1,0)+IF(Jogos!L98&lt;Jogos!J98,1,0)+IF(Jogos!E138&lt;Jogos!C138,1,0)+IF(Jogos!J128&lt;Jogos!L128,1,0)+IF(Jogos!C168&lt;Jogos!E168,1,0)</f>
        <v>3</v>
      </c>
      <c r="U30" s="3">
        <f>Jogos!E19+Jogos!J9+Jogos!C48+Jogos!L38+Jogos!E78+Jogos!J68+Jogos!C108+Jogos!L98+Jogos!E138+Jogos!J128+Jogos!C168</f>
        <v>12</v>
      </c>
      <c r="V30" s="3">
        <f>Jogos!C19+Jogos!L9+Jogos!E48+Jogos!J38+Jogos!C78+Jogos!L68+Jogos!E108+Jogos!J98+Jogos!C138+Jogos!L128+Jogos!E168</f>
        <v>15</v>
      </c>
      <c r="W30" s="1">
        <f t="shared" si="31"/>
        <v>-3</v>
      </c>
      <c r="X30" s="1">
        <f t="shared" si="32"/>
        <v>15</v>
      </c>
      <c r="Y30" s="2">
        <v>17</v>
      </c>
      <c r="AA30" s="41">
        <f t="shared" si="33"/>
        <v>150447121007</v>
      </c>
      <c r="AD30" s="72">
        <v>6</v>
      </c>
      <c r="AE30" s="72">
        <f>LARGE(AA25:AA35,AD30)</f>
        <v>150447121007</v>
      </c>
      <c r="AG30" s="72">
        <v>6</v>
      </c>
      <c r="AH30" s="72">
        <f>MATCH(AE30,AA25:AA35,0)</f>
        <v>6</v>
      </c>
    </row>
    <row r="31" spans="1:34" ht="23.25" customHeight="1" x14ac:dyDescent="0.25">
      <c r="A31" s="73"/>
      <c r="B31" s="181"/>
      <c r="C31" s="131" t="s">
        <v>16</v>
      </c>
      <c r="D31" s="138" t="str">
        <f t="shared" si="20"/>
        <v>Sevilla</v>
      </c>
      <c r="E31" s="138">
        <f t="shared" si="21"/>
        <v>10</v>
      </c>
      <c r="F31" s="138">
        <f t="shared" si="22"/>
        <v>3</v>
      </c>
      <c r="G31" s="138">
        <f t="shared" si="23"/>
        <v>2</v>
      </c>
      <c r="H31" s="138">
        <f t="shared" si="24"/>
        <v>5</v>
      </c>
      <c r="I31" s="138">
        <f t="shared" si="25"/>
        <v>13</v>
      </c>
      <c r="J31" s="138">
        <f t="shared" si="26"/>
        <v>16</v>
      </c>
      <c r="K31" s="138">
        <f t="shared" si="27"/>
        <v>-3</v>
      </c>
      <c r="L31" s="131">
        <f t="shared" si="28"/>
        <v>11</v>
      </c>
      <c r="M31" s="137">
        <f t="shared" si="29"/>
        <v>0.36666666666666664</v>
      </c>
      <c r="N31" s="15">
        <f t="shared" si="34"/>
        <v>30</v>
      </c>
      <c r="O31" s="2">
        <v>7</v>
      </c>
      <c r="P31" s="187" t="s">
        <v>119</v>
      </c>
      <c r="Q31" s="1">
        <f>IF(Jogos!E21&lt;&gt;"",1,0)+IF(Jogos!J11&lt;&gt;"",1,0)+IF(Jogos!C50&lt;&gt;"",1,0)+IF(Jogos!L40&lt;&gt;"",1,0)+IF(Jogos!E80&lt;&gt;"",1,0)+IF(Jogos!J70&lt;&gt;"",1,0)+IF(Jogos!C110&lt;&gt;"",1,0)+IF(Jogos!L100&lt;&gt;"",1,0)+IF(Jogos!E140&lt;&gt;"",1,0)+IF(Jogos!J130&lt;&gt;"",1,0)+IF(Jogos!C148&lt;&gt;"",1,0)</f>
        <v>10</v>
      </c>
      <c r="R31" s="1">
        <f>IF(Jogos!E21&gt;Jogos!C21,1,0)+IF(Jogos!J11&gt;Jogos!L11,1,0)+IF(Jogos!C50&gt;Jogos!E50,1,0)+IF(Jogos!L40&gt;Jogos!J40,1,0)+IF(Jogos!E80&gt;Jogos!C80,1,0)+IF(Jogos!J70&gt;Jogos!L70,1,0)+IF(Jogos!C110&gt;Jogos!E110,1,0)+IF(Jogos!L100&gt;Jogos!J100,1,0)+IF(Jogos!E140&gt;Jogos!C140,1,0)+IF(Jogos!J130&gt;Jogos!L130,1,0)+IF(Jogos!C148&gt;Jogos!E148,1,0)</f>
        <v>1</v>
      </c>
      <c r="S31" s="1">
        <f t="shared" si="30"/>
        <v>5</v>
      </c>
      <c r="T31" s="3">
        <f>IF(Jogos!E21&lt;Jogos!C21,1,0)+IF(Jogos!J11&lt;Jogos!L11,1,0)+IF(Jogos!C50&lt;Jogos!E50,1,0)+IF(Jogos!L40&lt;Jogos!J40,1,0)+IF(Jogos!E80&lt;Jogos!C80,1,0)+IF(Jogos!J70&lt;Jogos!L70,1,0)+IF(Jogos!C110&lt;Jogos!E110,1,0)+IF(Jogos!L100&lt;Jogos!J100,1,0)+IF(Jogos!E140&lt;Jogos!C140,1,0)+IF(Jogos!J130&lt;Jogos!L130,1,0)+IF(Jogos!C148&lt;Jogos!E148,1,0)</f>
        <v>4</v>
      </c>
      <c r="U31" s="3">
        <f>Jogos!E21+Jogos!J11+Jogos!C50+Jogos!L40+Jogos!E80+Jogos!J70+Jogos!C110+Jogos!L100+Jogos!E140+Jogos!J130+Jogos!C148</f>
        <v>9</v>
      </c>
      <c r="V31" s="3">
        <f>Jogos!C21+Jogos!L11+Jogos!E50+Jogos!J40+Jogos!C80+Jogos!L70+Jogos!E110+Jogos!J100+Jogos!C140+Jogos!L130+Jogos!E148</f>
        <v>11</v>
      </c>
      <c r="W31" s="1">
        <f t="shared" si="31"/>
        <v>-2</v>
      </c>
      <c r="X31" s="1">
        <f t="shared" si="32"/>
        <v>8</v>
      </c>
      <c r="Y31" s="2">
        <v>18</v>
      </c>
      <c r="AA31" s="41">
        <f t="shared" si="33"/>
        <v>80148091006</v>
      </c>
      <c r="AD31" s="72">
        <v>7</v>
      </c>
      <c r="AE31" s="72">
        <f>LARGE(AA25:AA35,AD31)</f>
        <v>110347131012</v>
      </c>
      <c r="AG31" s="72">
        <v>7</v>
      </c>
      <c r="AH31" s="72">
        <f>MATCH(AE31,AA25:AA35,0)</f>
        <v>1</v>
      </c>
    </row>
    <row r="32" spans="1:34" ht="23.25" customHeight="1" x14ac:dyDescent="0.25">
      <c r="A32" s="73"/>
      <c r="B32" s="181"/>
      <c r="C32" s="131" t="s">
        <v>17</v>
      </c>
      <c r="D32" s="11" t="str">
        <f t="shared" si="20"/>
        <v>Borussia M</v>
      </c>
      <c r="E32" s="11">
        <f t="shared" si="21"/>
        <v>10</v>
      </c>
      <c r="F32" s="11">
        <f t="shared" si="22"/>
        <v>2</v>
      </c>
      <c r="G32" s="11">
        <f t="shared" si="23"/>
        <v>5</v>
      </c>
      <c r="H32" s="11">
        <f t="shared" si="24"/>
        <v>3</v>
      </c>
      <c r="I32" s="11">
        <f t="shared" si="25"/>
        <v>8</v>
      </c>
      <c r="J32" s="11">
        <f t="shared" si="26"/>
        <v>10</v>
      </c>
      <c r="K32" s="11">
        <f t="shared" si="27"/>
        <v>-2</v>
      </c>
      <c r="L32" s="131">
        <f t="shared" si="28"/>
        <v>11</v>
      </c>
      <c r="M32" s="140">
        <f t="shared" si="29"/>
        <v>0.36666666666666664</v>
      </c>
      <c r="N32" s="15">
        <f t="shared" si="34"/>
        <v>30</v>
      </c>
      <c r="O32" s="2">
        <v>8</v>
      </c>
      <c r="P32" s="187" t="s">
        <v>113</v>
      </c>
      <c r="Q32" s="1">
        <f>IF(Jogos!E23&lt;&gt;"",1,0)+IF(Jogos!J13&lt;&gt;"",1,0)+IF(Jogos!C52&lt;&gt;"",1,0)+IF(Jogos!L42&lt;&gt;"",1,0)+IF(Jogos!E82&lt;&gt;"",1,0)+IF(Jogos!J72&lt;&gt;"",1,0)+IF(Jogos!C112&lt;&gt;"",1,0)+IF(Jogos!L102&lt;&gt;"",1,0)+IF(Jogos!E120&lt;&gt;"",1,0)+IF(Jogos!J132&lt;&gt;"",1,0)+IF(Jogos!C150&lt;&gt;"",1,0)</f>
        <v>10</v>
      </c>
      <c r="R32" s="1">
        <f>IF(Jogos!E23&gt;Jogos!C23,1,0)+IF(Jogos!J13&gt;Jogos!L13,1,0)+IF(Jogos!C52&gt;Jogos!E52,1,0)+IF(Jogos!L42&gt;Jogos!J42,1,0)+IF(Jogos!E82&gt;Jogos!C82,1,0)+IF(Jogos!J72&gt;Jogos!L72,1,0)+IF(Jogos!C112&gt;Jogos!E112,1,0)+IF(Jogos!L102&gt;Jogos!J102,1,0)+IF(Jogos!E120&gt;Jogos!C120,1,0)+IF(Jogos!J132&gt;Jogos!L132,1,0)+IF(Jogos!C150&gt;Jogos!E150,1,0)</f>
        <v>8</v>
      </c>
      <c r="S32" s="1">
        <f t="shared" si="30"/>
        <v>1</v>
      </c>
      <c r="T32" s="3">
        <f>IF(Jogos!E23&lt;Jogos!C23,1,0)+IF(Jogos!J13&lt;Jogos!L13,1,0)+IF(Jogos!C52&lt;Jogos!E52,1,0)+IF(Jogos!L42&lt;Jogos!J42,1,0)+IF(Jogos!E82&lt;Jogos!C82,1,0)+IF(Jogos!J72&lt;Jogos!L72,1,0)+IF(Jogos!C112&lt;Jogos!E112,1,0)+IF(Jogos!L102&lt;Jogos!J102,1,0)+IF(Jogos!E120&lt;Jogos!C120,1,0)+IF(Jogos!J132&lt;Jogos!L132,1,0)+IF(Jogos!C150&lt;Jogos!E150,1,0)</f>
        <v>1</v>
      </c>
      <c r="U32" s="3">
        <f>Jogos!E23+Jogos!J13+Jogos!C52+Jogos!L42+Jogos!E82+Jogos!J72+Jogos!C112+Jogos!L102+Jogos!E120+Jogos!J132+Jogos!C150</f>
        <v>19</v>
      </c>
      <c r="V32" s="3">
        <f>Jogos!C23+Jogos!L13+Jogos!E52+Jogos!J42+Jogos!C82+Jogos!L72+Jogos!E112+Jogos!J102+Jogos!C120+Jogos!L132+Jogos!E150</f>
        <v>4</v>
      </c>
      <c r="W32" s="1">
        <f t="shared" si="31"/>
        <v>15</v>
      </c>
      <c r="X32" s="1">
        <f t="shared" si="32"/>
        <v>25</v>
      </c>
      <c r="Y32" s="2">
        <v>19</v>
      </c>
      <c r="AA32" s="41">
        <f t="shared" si="33"/>
        <v>250865191005</v>
      </c>
      <c r="AD32" s="72">
        <v>8</v>
      </c>
      <c r="AE32" s="72">
        <f>LARGE(AA25:AA35,AD32)</f>
        <v>110248081009</v>
      </c>
      <c r="AG32" s="72">
        <v>8</v>
      </c>
      <c r="AH32" s="72">
        <f>MATCH(AE32,AA25:AA35,0)</f>
        <v>4</v>
      </c>
    </row>
    <row r="33" spans="1:61" ht="23.25" customHeight="1" x14ac:dyDescent="0.25">
      <c r="A33" s="73"/>
      <c r="B33" s="181"/>
      <c r="C33" s="132" t="s">
        <v>18</v>
      </c>
      <c r="D33" s="138" t="str">
        <f t="shared" si="20"/>
        <v>Real Betis</v>
      </c>
      <c r="E33" s="138">
        <f t="shared" si="21"/>
        <v>10</v>
      </c>
      <c r="F33" s="138">
        <f t="shared" si="22"/>
        <v>1</v>
      </c>
      <c r="G33" s="138">
        <f t="shared" si="23"/>
        <v>5</v>
      </c>
      <c r="H33" s="138">
        <f t="shared" si="24"/>
        <v>4</v>
      </c>
      <c r="I33" s="138">
        <f t="shared" si="25"/>
        <v>9</v>
      </c>
      <c r="J33" s="138">
        <f t="shared" si="26"/>
        <v>11</v>
      </c>
      <c r="K33" s="138">
        <f t="shared" si="27"/>
        <v>-2</v>
      </c>
      <c r="L33" s="132">
        <f t="shared" si="28"/>
        <v>8</v>
      </c>
      <c r="M33" s="137">
        <f t="shared" si="29"/>
        <v>0.26666666666666666</v>
      </c>
      <c r="N33" s="15">
        <f t="shared" si="34"/>
        <v>30</v>
      </c>
      <c r="O33" s="2">
        <v>9</v>
      </c>
      <c r="P33" s="187" t="s">
        <v>120</v>
      </c>
      <c r="Q33" s="1">
        <f>IF(Jogos!E25&lt;&gt;"",1,0)+IF(Jogos!J15&lt;&gt;"",1,0)+IF(Jogos!C54&lt;&gt;"",1,0)+IF(Jogos!L44&lt;&gt;"",1,0)+IF(Jogos!E84&lt;&gt;"",1,0)+IF(Jogos!J74&lt;&gt;"",1,0)+IF(Jogos!C92&lt;&gt;"",1,0)+IF(Jogos!L104&lt;&gt;"",1,0)+IF(Jogos!E122&lt;&gt;"",1,0)+IF(Jogos!J134&lt;&gt;"",1,0)+IF(Jogos!C152&lt;&gt;"",1,0)</f>
        <v>10</v>
      </c>
      <c r="R33" s="1">
        <f>IF(Jogos!E25&gt;Jogos!C25,1,0)+IF(Jogos!J15&gt;Jogos!L15,1,0)+IF(Jogos!C54&gt;Jogos!E54,1,0)+IF(Jogos!L44&gt;Jogos!J44,1,0)+IF(Jogos!E84&gt;Jogos!C84,1,0)+IF(Jogos!J74&gt;Jogos!L74,1,0)+IF(Jogos!C92&gt;Jogos!E92,1,0)+IF(Jogos!L104&gt;Jogos!J104,1,0)+IF(Jogos!E122&gt;Jogos!C122,1,0)+IF(Jogos!J134&gt;Jogos!L134,1,0)+IF(Jogos!C152&gt;Jogos!E152,1,0)</f>
        <v>1</v>
      </c>
      <c r="S33" s="1">
        <f t="shared" si="30"/>
        <v>2</v>
      </c>
      <c r="T33" s="3">
        <f>IF(Jogos!E25&lt;Jogos!C25,1,0)+IF(Jogos!J15&lt;Jogos!L15,1,0)+IF(Jogos!C54&lt;Jogos!E54,1,0)+IF(Jogos!L44&lt;Jogos!J44,1,0)+IF(Jogos!E84&lt;Jogos!C84,1,0)+IF(Jogos!J74&lt;Jogos!L74,1,0)+IF(Jogos!C92&lt;Jogos!E92,1,0)+IF(Jogos!L104&lt;Jogos!J104,1,0)+IF(Jogos!E122&lt;Jogos!C122,1,0)+IF(Jogos!J134&lt;Jogos!L134,1,0)+IF(Jogos!C152&lt;Jogos!E152,1,0)</f>
        <v>7</v>
      </c>
      <c r="U33" s="3">
        <f>Jogos!E25+Jogos!J15+Jogos!C54+Jogos!L44+Jogos!E84+Jogos!J74+Jogos!C92+Jogos!L104+Jogos!E122+Jogos!J134+Jogos!C152</f>
        <v>8</v>
      </c>
      <c r="V33" s="3">
        <f>Jogos!C25+Jogos!L15+Jogos!E54+Jogos!J44+Jogos!C84+Jogos!L74+Jogos!E92+Jogos!J104+Jogos!C122+Jogos!L134+Jogos!E152</f>
        <v>24</v>
      </c>
      <c r="W33" s="1">
        <f t="shared" si="31"/>
        <v>-16</v>
      </c>
      <c r="X33" s="1">
        <f t="shared" si="32"/>
        <v>5</v>
      </c>
      <c r="Y33" s="2">
        <v>20</v>
      </c>
      <c r="AA33" s="41">
        <f t="shared" si="33"/>
        <v>50134081004</v>
      </c>
      <c r="AD33" s="72">
        <v>9</v>
      </c>
      <c r="AE33" s="72">
        <f>LARGE(AA25:AA35,AD33)</f>
        <v>80148091006</v>
      </c>
      <c r="AG33" s="72">
        <v>9</v>
      </c>
      <c r="AH33" s="72">
        <f>MATCH(AE33,AA25:AA35,0)</f>
        <v>7</v>
      </c>
    </row>
    <row r="34" spans="1:61" ht="23.25" customHeight="1" x14ac:dyDescent="0.25">
      <c r="A34" s="73"/>
      <c r="B34" s="181"/>
      <c r="C34" s="132" t="s">
        <v>40</v>
      </c>
      <c r="D34" s="11" t="str">
        <f t="shared" si="20"/>
        <v>Everton</v>
      </c>
      <c r="E34" s="11">
        <f t="shared" si="21"/>
        <v>10</v>
      </c>
      <c r="F34" s="11">
        <f t="shared" si="22"/>
        <v>1</v>
      </c>
      <c r="G34" s="11">
        <f t="shared" si="23"/>
        <v>2</v>
      </c>
      <c r="H34" s="11">
        <f t="shared" si="24"/>
        <v>7</v>
      </c>
      <c r="I34" s="11">
        <f t="shared" si="25"/>
        <v>8</v>
      </c>
      <c r="J34" s="11">
        <f t="shared" si="26"/>
        <v>24</v>
      </c>
      <c r="K34" s="11">
        <f t="shared" si="27"/>
        <v>-16</v>
      </c>
      <c r="L34" s="132">
        <f t="shared" si="28"/>
        <v>5</v>
      </c>
      <c r="M34" s="140">
        <f t="shared" si="29"/>
        <v>0.16666666666666669</v>
      </c>
      <c r="N34" s="15">
        <f t="shared" si="34"/>
        <v>30</v>
      </c>
      <c r="O34" s="2">
        <v>10</v>
      </c>
      <c r="P34" s="187" t="s">
        <v>121</v>
      </c>
      <c r="Q34" s="1">
        <f>IF(Jogos!E27&lt;&gt;"",1,0)+IF(Jogos!J17&lt;&gt;"",1,0)+IF(Jogos!C56&lt;&gt;"",1,0)+IF(Jogos!L46&lt;&gt;"",1,0)+IF(Jogos!E64&lt;&gt;"",1,0)+IF(Jogos!J76&lt;&gt;"",1,0)+IF(Jogos!C94&lt;&gt;"",1,0)+IF(Jogos!L106&lt;&gt;"",1,0)+IF(Jogos!E124&lt;&gt;"",1,0)+IF(Jogos!J136&lt;&gt;"",1,0)+IF(Jogos!C154&lt;&gt;"",1,0)</f>
        <v>10</v>
      </c>
      <c r="R34" s="1">
        <f>IF(Jogos!E27&gt;Jogos!C27,1,0)+IF(Jogos!J17&gt;Jogos!L17,1,0)+IF(Jogos!C56&gt;Jogos!E56,1,0)+IF(Jogos!L46&gt;Jogos!J46,1,0)+IF(Jogos!E64&gt;Jogos!C64,1,0)+IF(Jogos!J76&gt;Jogos!L76,1,0)+IF(Jogos!C94&gt;Jogos!E94,1,0)+IF(Jogos!L106&gt;Jogos!J106,1,0)+IF(Jogos!E124&gt;Jogos!C124,1,0)+IF(Jogos!J136&gt;Jogos!L136,1,0)+IF(Jogos!C154&gt;Jogos!E154,1,0)</f>
        <v>5</v>
      </c>
      <c r="S34" s="1">
        <f t="shared" ref="S34:S35" si="35">Q34-R34-T34</f>
        <v>2</v>
      </c>
      <c r="T34" s="3">
        <f>IF(Jogos!E27&lt;Jogos!C27,1,0)+IF(Jogos!J17&lt;Jogos!L17,1,0)+IF(Jogos!C56&lt;Jogos!E56,1,0)+IF(Jogos!L46&lt;Jogos!J46,1,0)+IF(Jogos!E64&lt;Jogos!C64,1,0)+IF(Jogos!J76&lt;Jogos!L76,1,0)+IF(Jogos!C94&lt;Jogos!E94,1,0)+IF(Jogos!L106&lt;Jogos!J106,1,0)+IF(Jogos!E124&lt;Jogos!C124,1,0)+IF(Jogos!J136&lt;Jogos!L136,1,0)+IF(Jogos!C154&lt;Jogos!E154,1,0)</f>
        <v>3</v>
      </c>
      <c r="U34" s="3">
        <f>Jogos!E27+Jogos!J17+Jogos!C56+Jogos!L46+Jogos!E64+Jogos!J76+Jogos!C94+Jogos!L106+Jogos!E124+Jogos!J136+Jogos!C154</f>
        <v>16</v>
      </c>
      <c r="V34" s="3">
        <f>Jogos!C27+Jogos!L17+Jogos!E56+Jogos!J46+Jogos!C64+Jogos!L76+Jogos!E94+Jogos!J106+Jogos!C124+Jogos!L136+Jogos!E154</f>
        <v>12</v>
      </c>
      <c r="W34" s="1">
        <f t="shared" ref="W34:W35" si="36">U34-V34</f>
        <v>4</v>
      </c>
      <c r="X34" s="1">
        <f t="shared" ref="X34:X35" si="37">R34*3+S34</f>
        <v>17</v>
      </c>
      <c r="Y34" s="2">
        <v>21</v>
      </c>
      <c r="AA34" s="41">
        <f t="shared" si="33"/>
        <v>170554161003</v>
      </c>
      <c r="AD34" s="72">
        <v>10</v>
      </c>
      <c r="AE34" s="72">
        <f>LARGE(AA25:AA35,AD34)</f>
        <v>50134081004</v>
      </c>
      <c r="AG34" s="72">
        <v>10</v>
      </c>
      <c r="AH34" s="72">
        <f>MATCH(AE34,AA25:AA35,0)</f>
        <v>9</v>
      </c>
    </row>
    <row r="35" spans="1:61" ht="23.25" customHeight="1" x14ac:dyDescent="0.25">
      <c r="A35" s="73"/>
      <c r="B35" s="181"/>
      <c r="C35" s="132" t="s">
        <v>41</v>
      </c>
      <c r="D35" s="138" t="str">
        <f t="shared" si="20"/>
        <v>W.O</v>
      </c>
      <c r="E35" s="138">
        <f t="shared" si="21"/>
        <v>0</v>
      </c>
      <c r="F35" s="138">
        <f t="shared" si="22"/>
        <v>0</v>
      </c>
      <c r="G35" s="138">
        <f t="shared" si="23"/>
        <v>0</v>
      </c>
      <c r="H35" s="138">
        <f t="shared" si="24"/>
        <v>0</v>
      </c>
      <c r="I35" s="138">
        <f t="shared" si="25"/>
        <v>0</v>
      </c>
      <c r="J35" s="138">
        <f t="shared" si="26"/>
        <v>0</v>
      </c>
      <c r="K35" s="138">
        <f t="shared" si="27"/>
        <v>0</v>
      </c>
      <c r="L35" s="132">
        <f t="shared" si="28"/>
        <v>0</v>
      </c>
      <c r="M35" s="137">
        <f t="shared" si="29"/>
        <v>0</v>
      </c>
      <c r="N35" s="15">
        <f t="shared" si="34"/>
        <v>0</v>
      </c>
      <c r="O35" s="2">
        <v>11</v>
      </c>
      <c r="P35" s="1" t="s">
        <v>122</v>
      </c>
      <c r="Q35" s="1">
        <f>IF(Jogos!E29&lt;&gt;"",1,0)+IF(Jogos!J19&lt;&gt;"",1,0)+IF(Jogos!C36&lt;&gt;"",1,0)+IF(Jogos!L48&lt;&gt;"",1,0)+IF(Jogos!E66&lt;&gt;"",1,0)+IF(Jogos!J78&lt;&gt;"",1,0)+IF(Jogos!C96&lt;&gt;"",1,0)+IF(Jogos!L108&lt;&gt;"",1,0)+IF(Jogos!E126&lt;&gt;"",1,0)+IF(Jogos!J138&lt;&gt;"",1,0)+IF(Jogos!C156&lt;&gt;"",1,0)</f>
        <v>0</v>
      </c>
      <c r="R35" s="1">
        <f>IF(Jogos!E29&gt;Jogos!C29,1,0)+IF(Jogos!J19&gt;Jogos!L19,1,0)+IF(Jogos!C36&gt;Jogos!E36,1,0)+IF(Jogos!L48&gt;Jogos!J48,1,0)+IF(Jogos!E66&gt;Jogos!C66,1,0)+IF(Jogos!J78&gt;Jogos!L78,1,0)+IF(Jogos!C96&gt;Jogos!E96,1,0)+IF(Jogos!L108&gt;Jogos!J108,1,0)+IF(Jogos!E126&gt;Jogos!C126,1,0)+IF(Jogos!J138&gt;Jogos!L138,1,0)+IF(Jogos!C156&gt;Jogos!E156,1,0)</f>
        <v>0</v>
      </c>
      <c r="S35" s="1">
        <f t="shared" si="35"/>
        <v>0</v>
      </c>
      <c r="T35" s="3">
        <f>IF(Jogos!E29&lt;Jogos!C29,1,0)+IF(Jogos!J19&lt;Jogos!L19,1,0)+IF(Jogos!C36&lt;Jogos!E36,1,0)+IF(Jogos!L48&lt;Jogos!J48,1,0)+IF(Jogos!E66&lt;Jogos!C66,1,0)+IF(Jogos!J78&lt;Jogos!L78,1,0)+IF(Jogos!C96&lt;Jogos!E96,1,0)+IF(Jogos!L108&lt;Jogos!J108,1,0)+IF(Jogos!E126&lt;Jogos!C126,1,0)+IF(Jogos!J138&lt;Jogos!L138,1,0)+IF(Jogos!C156&lt;Jogos!E156,1,0)</f>
        <v>0</v>
      </c>
      <c r="U35" s="3">
        <f>Jogos!E29+Jogos!J19+Jogos!C36+Jogos!L48+Jogos!E66+Jogos!J78+Jogos!C96+Jogos!L108+Jogos!E126+Jogos!J138+Jogos!C156</f>
        <v>0</v>
      </c>
      <c r="V35" s="3">
        <f>Jogos!C29+Jogos!L19+Jogos!E36+Jogos!J48+Jogos!C66+Jogos!L78+Jogos!E96+Jogos!J108+Jogos!C126+Jogos!L138+Jogos!E156</f>
        <v>0</v>
      </c>
      <c r="W35" s="1">
        <f t="shared" si="36"/>
        <v>0</v>
      </c>
      <c r="X35" s="1">
        <f t="shared" si="37"/>
        <v>0</v>
      </c>
      <c r="Y35" s="2">
        <v>22</v>
      </c>
      <c r="AA35" s="41">
        <f t="shared" si="33"/>
        <v>50000002</v>
      </c>
      <c r="AD35" s="72">
        <v>11</v>
      </c>
      <c r="AE35" s="72">
        <f>LARGE(AA25:AA35,AD35)</f>
        <v>50000002</v>
      </c>
      <c r="AG35" s="72">
        <v>11</v>
      </c>
      <c r="AH35" s="72">
        <f>MATCH(AE35,AA25:AA35,0)</f>
        <v>11</v>
      </c>
    </row>
    <row r="36" spans="1:61" x14ac:dyDescent="0.25">
      <c r="Q36" s="1"/>
      <c r="R36" s="1"/>
      <c r="S36" s="1"/>
      <c r="T36" s="3"/>
      <c r="U36" s="3"/>
      <c r="V36" s="1"/>
    </row>
    <row r="37" spans="1:61" x14ac:dyDescent="0.25">
      <c r="P37" s="187"/>
    </row>
    <row r="44" spans="1:61" x14ac:dyDescent="0.25">
      <c r="A44" s="188" t="s">
        <v>125</v>
      </c>
      <c r="B44" s="188"/>
      <c r="C44" s="188"/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  <c r="AK44" s="188"/>
      <c r="AL44" s="188"/>
      <c r="AM44" s="188"/>
      <c r="AN44" s="188"/>
      <c r="AO44" s="188"/>
      <c r="AP44" s="188"/>
      <c r="AQ44" s="188"/>
      <c r="AR44" s="188"/>
      <c r="AS44" s="188"/>
      <c r="AT44" s="188"/>
      <c r="AU44" s="188"/>
      <c r="AV44" s="188"/>
      <c r="AW44" s="188"/>
      <c r="AX44" s="188"/>
      <c r="AY44" s="188"/>
      <c r="AZ44" s="188"/>
      <c r="BA44" s="188"/>
      <c r="BB44" s="188"/>
      <c r="BC44" s="188"/>
      <c r="BD44" s="188"/>
      <c r="BE44" s="188"/>
      <c r="BF44" s="188"/>
      <c r="BG44" s="188"/>
      <c r="BH44" s="188"/>
      <c r="BI44" s="188"/>
    </row>
    <row r="45" spans="1:61" x14ac:dyDescent="0.25">
      <c r="A45" s="189" t="s">
        <v>131</v>
      </c>
      <c r="B45" s="189"/>
      <c r="C45" s="189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90"/>
      <c r="AK45" s="190"/>
      <c r="AL45" s="190"/>
      <c r="AM45" s="190"/>
      <c r="AN45" s="190"/>
      <c r="AO45" s="190"/>
      <c r="AP45" s="190"/>
      <c r="AQ45" s="190"/>
      <c r="AR45" s="190"/>
      <c r="AS45" s="190"/>
      <c r="AT45" s="190"/>
      <c r="AU45" s="190"/>
      <c r="AV45" s="190"/>
      <c r="AW45" s="190"/>
      <c r="AX45" s="190"/>
      <c r="AY45" s="190"/>
      <c r="AZ45" s="190"/>
      <c r="BA45" s="190"/>
      <c r="BB45" s="190"/>
      <c r="BC45" s="190"/>
      <c r="BD45" s="190"/>
      <c r="BE45" s="190"/>
    </row>
    <row r="46" spans="1:61" x14ac:dyDescent="0.25"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2"/>
      <c r="P46" s="192"/>
      <c r="Q46" s="192"/>
      <c r="R46" s="192"/>
      <c r="S46" s="192"/>
      <c r="T46" s="192"/>
      <c r="U46" s="192"/>
      <c r="V46" s="192"/>
      <c r="X46" s="192"/>
      <c r="Y46" s="192"/>
      <c r="Z46" s="192"/>
      <c r="AA46" s="192"/>
      <c r="AB46" s="192"/>
      <c r="AC46" s="192"/>
      <c r="AD46" s="192"/>
      <c r="AE46" s="192"/>
      <c r="AF46" s="192"/>
      <c r="AG46" s="192"/>
      <c r="AH46" s="192"/>
      <c r="AI46" s="192"/>
    </row>
    <row r="47" spans="1:61" x14ac:dyDescent="0.25"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2"/>
      <c r="P47" s="192"/>
      <c r="Q47" s="192"/>
      <c r="R47" s="192"/>
      <c r="S47" s="192"/>
      <c r="T47" s="192"/>
      <c r="U47" s="192"/>
      <c r="V47" s="192"/>
      <c r="W47" s="192"/>
      <c r="X47" s="192"/>
      <c r="Y47" s="192"/>
      <c r="Z47" s="192"/>
      <c r="AA47" s="192"/>
      <c r="AB47" s="192"/>
      <c r="AC47" s="192"/>
      <c r="AD47" s="192"/>
      <c r="AE47" s="192"/>
      <c r="AF47" s="192"/>
      <c r="AG47" s="192"/>
      <c r="AH47" s="192"/>
      <c r="AI47" s="192"/>
    </row>
    <row r="53" spans="1:62" x14ac:dyDescent="0.25">
      <c r="A53" s="193" t="s">
        <v>126</v>
      </c>
      <c r="B53" s="194"/>
      <c r="C53" s="194"/>
      <c r="D53" s="194"/>
      <c r="E53" s="194"/>
      <c r="F53" s="194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94"/>
      <c r="AA53" s="194"/>
      <c r="AB53" s="194"/>
      <c r="AC53" s="194"/>
      <c r="AD53" s="194"/>
      <c r="AE53" s="194"/>
      <c r="AF53" s="194"/>
      <c r="AG53" s="194"/>
      <c r="AH53" s="194"/>
      <c r="AI53" s="194"/>
      <c r="AJ53" s="194"/>
      <c r="AK53" s="194"/>
      <c r="AL53" s="194"/>
      <c r="AM53" s="194"/>
      <c r="AN53" s="194"/>
      <c r="AO53" s="194"/>
      <c r="AP53" s="194"/>
      <c r="AQ53" s="194"/>
      <c r="AR53" s="194"/>
      <c r="AS53" s="194"/>
      <c r="AT53" s="194"/>
      <c r="AU53" s="194"/>
      <c r="AV53" s="194"/>
      <c r="AW53" s="194"/>
      <c r="AX53" s="194"/>
      <c r="AY53" s="194"/>
      <c r="AZ53" s="194"/>
      <c r="BA53" s="194"/>
      <c r="BB53" s="194"/>
      <c r="BC53" s="194"/>
      <c r="BD53" s="194"/>
      <c r="BE53" s="194"/>
      <c r="BF53" s="194"/>
      <c r="BG53" s="194"/>
      <c r="BH53" s="194"/>
      <c r="BI53" s="194"/>
      <c r="BJ53" s="194"/>
    </row>
    <row r="54" spans="1:62" x14ac:dyDescent="0.25">
      <c r="A54" s="189" t="s">
        <v>132</v>
      </c>
      <c r="B54" s="189"/>
      <c r="C54" s="189"/>
      <c r="D54" s="189"/>
      <c r="E54" s="189"/>
      <c r="F54" s="189"/>
      <c r="G54" s="189"/>
      <c r="H54" s="189"/>
      <c r="I54" s="189"/>
      <c r="J54" s="189"/>
      <c r="K54" s="189"/>
      <c r="L54" s="189"/>
      <c r="M54" s="189"/>
      <c r="N54" s="189"/>
      <c r="O54" s="189"/>
      <c r="P54" s="189"/>
      <c r="Q54" s="189"/>
      <c r="R54" s="189"/>
      <c r="S54" s="189"/>
      <c r="T54" s="189"/>
      <c r="U54" s="189"/>
      <c r="V54" s="189"/>
      <c r="W54" s="189"/>
      <c r="X54" s="189"/>
      <c r="Y54" s="189"/>
      <c r="Z54" s="189"/>
      <c r="AA54" s="189"/>
      <c r="AB54" s="189"/>
      <c r="AC54" s="189"/>
      <c r="AD54" s="189"/>
      <c r="AE54" s="189"/>
      <c r="AF54" s="189"/>
      <c r="AG54" s="189"/>
      <c r="AH54" s="189"/>
      <c r="AI54" s="189"/>
      <c r="AJ54" s="190"/>
      <c r="AK54" s="190"/>
      <c r="AL54" s="190"/>
      <c r="AM54" s="190"/>
      <c r="AN54" s="190"/>
      <c r="AO54" s="190"/>
      <c r="AP54" s="190"/>
      <c r="AQ54" s="190"/>
      <c r="AR54" s="190"/>
      <c r="AS54" s="190"/>
      <c r="AT54" s="190"/>
      <c r="AU54" s="190"/>
      <c r="AV54" s="190"/>
      <c r="AW54" s="190"/>
      <c r="AX54" s="190"/>
      <c r="AY54" s="190"/>
      <c r="AZ54" s="190"/>
      <c r="BA54" s="190"/>
      <c r="BB54" s="190"/>
      <c r="BC54" s="190"/>
      <c r="BD54" s="190"/>
      <c r="BE54" s="190"/>
    </row>
    <row r="55" spans="1:62" x14ac:dyDescent="0.25">
      <c r="C55" s="191"/>
      <c r="D55" s="191"/>
      <c r="E55" s="191"/>
      <c r="F55" s="191"/>
      <c r="G55" s="191"/>
      <c r="H55" s="191"/>
      <c r="I55" s="191"/>
      <c r="J55" s="191"/>
      <c r="K55" s="191"/>
      <c r="L55" s="191"/>
      <c r="M55" s="191"/>
      <c r="N55" s="191"/>
      <c r="O55" s="192"/>
      <c r="Q55" s="192"/>
      <c r="R55" s="192"/>
      <c r="S55" s="192"/>
      <c r="T55" s="192"/>
      <c r="U55" s="192"/>
      <c r="V55" s="192"/>
      <c r="W55" s="192"/>
      <c r="X55" s="192"/>
      <c r="Y55" s="192"/>
      <c r="Z55" s="192"/>
      <c r="AA55" s="192"/>
      <c r="AB55" s="192"/>
      <c r="AC55" s="192"/>
      <c r="AD55" s="192"/>
      <c r="AE55" s="192"/>
      <c r="AF55" s="192"/>
      <c r="AG55" s="192"/>
      <c r="AH55" s="192"/>
      <c r="AI55" s="192"/>
    </row>
    <row r="56" spans="1:62" x14ac:dyDescent="0.25">
      <c r="C56" s="191"/>
      <c r="D56" s="191"/>
      <c r="E56" s="191"/>
      <c r="F56" s="191"/>
      <c r="G56" s="191"/>
      <c r="H56" s="191"/>
      <c r="I56" s="191"/>
      <c r="J56" s="191"/>
      <c r="K56" s="191"/>
      <c r="L56" s="191"/>
      <c r="M56" s="191"/>
      <c r="N56" s="191"/>
      <c r="O56" s="192"/>
      <c r="P56" s="192"/>
      <c r="Q56" s="192"/>
      <c r="R56" s="192"/>
      <c r="S56" s="192"/>
      <c r="T56" s="192"/>
      <c r="U56" s="192"/>
      <c r="V56" s="192"/>
      <c r="W56" s="192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2"/>
      <c r="AI56" s="192"/>
    </row>
    <row r="62" spans="1:62" x14ac:dyDescent="0.25">
      <c r="A62" s="193" t="s">
        <v>127</v>
      </c>
      <c r="B62" s="194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4"/>
      <c r="R62" s="194"/>
      <c r="S62" s="194"/>
      <c r="T62" s="194"/>
      <c r="U62" s="194"/>
      <c r="V62" s="194"/>
      <c r="W62" s="194"/>
      <c r="X62" s="194"/>
      <c r="Y62" s="194"/>
      <c r="Z62" s="194"/>
      <c r="AA62" s="194"/>
      <c r="AB62" s="194"/>
      <c r="AC62" s="194"/>
      <c r="AD62" s="194"/>
      <c r="AE62" s="194"/>
      <c r="AF62" s="194"/>
      <c r="AG62" s="194"/>
      <c r="AH62" s="194"/>
      <c r="AI62" s="194"/>
      <c r="AJ62" s="194"/>
      <c r="AK62" s="194"/>
      <c r="AL62" s="194"/>
      <c r="AM62" s="194"/>
      <c r="AN62" s="194"/>
      <c r="AO62" s="194"/>
      <c r="AP62" s="194"/>
      <c r="AQ62" s="194"/>
      <c r="AR62" s="194"/>
      <c r="AS62" s="194"/>
      <c r="AT62" s="194"/>
      <c r="AU62" s="194"/>
      <c r="AV62" s="194"/>
      <c r="AW62" s="194"/>
      <c r="AX62" s="194"/>
      <c r="AY62" s="194"/>
      <c r="AZ62" s="194"/>
      <c r="BA62" s="194"/>
      <c r="BB62" s="194"/>
      <c r="BC62" s="194"/>
      <c r="BD62" s="194"/>
      <c r="BE62" s="194"/>
      <c r="BF62" s="194"/>
      <c r="BG62" s="194"/>
      <c r="BH62" s="194"/>
      <c r="BI62" s="194"/>
      <c r="BJ62" s="194"/>
    </row>
    <row r="63" spans="1:62" x14ac:dyDescent="0.25">
      <c r="A63" s="195" t="s">
        <v>133</v>
      </c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  <c r="N63" s="195"/>
      <c r="O63" s="195"/>
      <c r="P63" s="195"/>
      <c r="Q63" s="195"/>
      <c r="R63" s="195"/>
      <c r="S63" s="195"/>
      <c r="T63" s="195"/>
      <c r="U63" s="195"/>
      <c r="V63" s="195"/>
      <c r="W63" s="195"/>
      <c r="X63" s="195"/>
      <c r="Y63" s="195"/>
      <c r="Z63" s="195"/>
      <c r="AA63" s="195"/>
      <c r="AB63" s="195"/>
      <c r="AC63" s="195"/>
      <c r="AD63" s="195"/>
      <c r="AE63" s="195"/>
      <c r="AF63" s="195"/>
      <c r="AG63" s="195"/>
      <c r="AH63" s="195"/>
      <c r="AI63" s="195"/>
      <c r="AJ63" s="195"/>
      <c r="AK63" s="195"/>
      <c r="AL63" s="195"/>
      <c r="AM63" s="195"/>
      <c r="AN63" s="195"/>
      <c r="AO63" s="195"/>
      <c r="AP63" s="195"/>
      <c r="AQ63" s="195"/>
      <c r="AR63" s="195"/>
      <c r="AS63" s="195"/>
      <c r="AT63" s="195"/>
      <c r="AU63" s="195"/>
      <c r="AV63" s="195"/>
      <c r="AW63" s="195"/>
      <c r="AX63" s="195"/>
      <c r="AY63" s="195"/>
      <c r="AZ63" s="195"/>
      <c r="BA63" s="195"/>
      <c r="BB63" s="195"/>
      <c r="BC63" s="195"/>
      <c r="BD63" s="190"/>
      <c r="BE63" s="190"/>
      <c r="BF63" s="190"/>
    </row>
  </sheetData>
  <sheetProtection algorithmName="SHA-512" hashValue="6TMyYbw3keaBDq67UEUugzoAWVn25bLr4Vi/SD7uJXTG+8XmQA5Q9zbraYjPZdIq3FvOCJwSt1oYzB7NTxl6GA==" saltValue="A6k6O66DAHqzTaram9UP9w==" spinCount="100000" sheet="1" objects="1" scenarios="1" selectLockedCells="1" selectUnlockedCells="1"/>
  <mergeCells count="11">
    <mergeCell ref="C22:M22"/>
    <mergeCell ref="B9:B10"/>
    <mergeCell ref="C2:L2"/>
    <mergeCell ref="C4:L4"/>
    <mergeCell ref="A53:BJ53"/>
    <mergeCell ref="A62:BJ62"/>
    <mergeCell ref="A44:BI44"/>
    <mergeCell ref="C6:M6"/>
    <mergeCell ref="A45:BE45"/>
    <mergeCell ref="A54:BE54"/>
    <mergeCell ref="A63:BF6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Z284"/>
  <sheetViews>
    <sheetView showGridLines="0" zoomScaleNormal="100" workbookViewId="0">
      <selection sqref="A1:XFD1048576"/>
    </sheetView>
  </sheetViews>
  <sheetFormatPr defaultRowHeight="12.75" customHeight="1" x14ac:dyDescent="0.2"/>
  <cols>
    <col min="1" max="1" width="9.140625" style="146"/>
    <col min="2" max="2" width="15.42578125" style="146" customWidth="1"/>
    <col min="3" max="3" width="3.42578125" style="146" customWidth="1"/>
    <col min="4" max="4" width="9.140625" style="36" customWidth="1"/>
    <col min="5" max="5" width="3.42578125" style="146" customWidth="1"/>
    <col min="6" max="6" width="15.42578125" style="146" customWidth="1"/>
    <col min="7" max="8" width="9.140625" style="146"/>
    <col min="9" max="9" width="15.42578125" style="146" customWidth="1"/>
    <col min="10" max="10" width="3.42578125" style="146" customWidth="1"/>
    <col min="11" max="11" width="9.140625" style="146" customWidth="1"/>
    <col min="12" max="12" width="3.42578125" style="146" customWidth="1"/>
    <col min="13" max="14" width="15.42578125" style="146" customWidth="1"/>
    <col min="15" max="16" width="9.140625" style="146" hidden="1" customWidth="1"/>
    <col min="17" max="17" width="15.28515625" style="146" hidden="1" customWidth="1"/>
    <col min="18" max="18" width="7.7109375" style="146" hidden="1" customWidth="1"/>
    <col min="19" max="21" width="14.85546875" style="146" hidden="1" customWidth="1"/>
    <col min="22" max="22" width="12" style="146" hidden="1" customWidth="1"/>
    <col min="23" max="23" width="9.140625" style="146" hidden="1" customWidth="1"/>
    <col min="24" max="24" width="12.28515625" style="146" hidden="1" customWidth="1"/>
    <col min="25" max="42" width="9.140625" style="146" hidden="1" customWidth="1"/>
    <col min="43" max="71" width="9.140625" style="146" customWidth="1"/>
    <col min="72" max="16384" width="9.140625" style="146"/>
  </cols>
  <sheetData>
    <row r="2" spans="2:14" s="146" customFormat="1" ht="21" customHeight="1" x14ac:dyDescent="0.3">
      <c r="B2" s="161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2:14" s="146" customFormat="1" ht="12.75" customHeight="1" x14ac:dyDescent="0.25">
      <c r="B3" s="163"/>
      <c r="C3" s="164"/>
      <c r="D3" s="164"/>
      <c r="E3" s="164"/>
      <c r="F3" s="164"/>
      <c r="I3" s="163"/>
      <c r="J3" s="164"/>
      <c r="K3" s="164"/>
      <c r="L3" s="164"/>
      <c r="M3" s="164"/>
    </row>
    <row r="4" spans="2:14" s="146" customFormat="1" ht="12.75" customHeight="1" x14ac:dyDescent="0.2">
      <c r="D4" s="36"/>
      <c r="K4" s="36"/>
    </row>
    <row r="5" spans="2:14" s="146" customFormat="1" ht="12.75" customHeight="1" x14ac:dyDescent="0.2">
      <c r="D5" s="36"/>
      <c r="K5" s="36"/>
    </row>
    <row r="6" spans="2:14" s="146" customFormat="1" ht="12.75" customHeight="1" x14ac:dyDescent="0.2">
      <c r="B6" s="28" t="s">
        <v>21</v>
      </c>
      <c r="D6" s="36"/>
      <c r="I6" s="74" t="s">
        <v>27</v>
      </c>
      <c r="K6" s="36"/>
    </row>
    <row r="7" spans="2:14" s="146" customFormat="1" ht="12.75" customHeight="1" x14ac:dyDescent="0.2">
      <c r="D7" s="36"/>
      <c r="K7" s="36"/>
    </row>
    <row r="8" spans="2:14" s="146" customFormat="1" ht="12.75" customHeight="1" x14ac:dyDescent="0.2">
      <c r="D8" s="36"/>
      <c r="I8" s="40"/>
      <c r="J8" s="40"/>
      <c r="K8" s="40"/>
      <c r="L8" s="40"/>
      <c r="M8" s="40"/>
      <c r="N8" s="40"/>
    </row>
    <row r="9" spans="2:14" s="146" customFormat="1" ht="12.75" customHeight="1" x14ac:dyDescent="0.2">
      <c r="B9" s="37" t="str">
        <f>Classificação!P9</f>
        <v> Atalanta</v>
      </c>
      <c r="C9" s="38">
        <v>3</v>
      </c>
      <c r="D9" s="39" t="s">
        <v>20</v>
      </c>
      <c r="E9" s="38">
        <v>1</v>
      </c>
      <c r="F9" s="37" t="str">
        <f>Classificação!P25</f>
        <v>Sevilla</v>
      </c>
      <c r="I9" s="29" t="str">
        <f>Classificação!P30</f>
        <v>R B Leipzig</v>
      </c>
      <c r="J9" s="38">
        <v>2</v>
      </c>
      <c r="K9" s="39" t="s">
        <v>20</v>
      </c>
      <c r="L9" s="38">
        <v>1</v>
      </c>
      <c r="M9" s="29" t="str">
        <f>Classificação!P9</f>
        <v> Atalanta</v>
      </c>
      <c r="N9" s="40"/>
    </row>
    <row r="10" spans="2:14" s="146" customFormat="1" ht="12.75" customHeight="1" x14ac:dyDescent="0.2">
      <c r="D10" s="36"/>
      <c r="I10" s="30"/>
      <c r="K10" s="36"/>
      <c r="M10" s="30"/>
      <c r="N10" s="40"/>
    </row>
    <row r="11" spans="2:14" s="146" customFormat="1" ht="12.75" customHeight="1" x14ac:dyDescent="0.2">
      <c r="B11" s="37" t="str">
        <f>Classificação!P10</f>
        <v>Hoffenheim</v>
      </c>
      <c r="C11" s="38">
        <v>2</v>
      </c>
      <c r="D11" s="39" t="s">
        <v>20</v>
      </c>
      <c r="E11" s="38">
        <v>0</v>
      </c>
      <c r="F11" s="37" t="str">
        <f>Classificação!P26</f>
        <v>P S V</v>
      </c>
      <c r="I11" s="29" t="str">
        <f>Classificação!P31</f>
        <v>Real Betis</v>
      </c>
      <c r="J11" s="38">
        <v>0</v>
      </c>
      <c r="K11" s="39" t="s">
        <v>20</v>
      </c>
      <c r="L11" s="38">
        <v>0</v>
      </c>
      <c r="M11" s="29" t="str">
        <f>Classificação!P10</f>
        <v>Hoffenheim</v>
      </c>
      <c r="N11" s="40"/>
    </row>
    <row r="12" spans="2:14" s="146" customFormat="1" ht="12.75" customHeight="1" x14ac:dyDescent="0.2">
      <c r="D12" s="36"/>
      <c r="I12" s="30"/>
      <c r="K12" s="36"/>
      <c r="M12" s="30"/>
      <c r="N12" s="40"/>
    </row>
    <row r="13" spans="2:14" s="146" customFormat="1" ht="12.75" customHeight="1" x14ac:dyDescent="0.2">
      <c r="B13" s="37" t="str">
        <f>Classificação!P11</f>
        <v>Real Sociedad</v>
      </c>
      <c r="C13" s="38">
        <v>0</v>
      </c>
      <c r="D13" s="39" t="s">
        <v>20</v>
      </c>
      <c r="E13" s="38">
        <v>1</v>
      </c>
      <c r="F13" s="37" t="str">
        <f>Classificação!P27</f>
        <v>Crystal Palace</v>
      </c>
      <c r="I13" s="29" t="str">
        <f>Classificação!P32</f>
        <v>Celta De Vigo</v>
      </c>
      <c r="J13" s="38">
        <v>4</v>
      </c>
      <c r="K13" s="39" t="s">
        <v>20</v>
      </c>
      <c r="L13" s="38">
        <v>1</v>
      </c>
      <c r="M13" s="29" t="str">
        <f>Classificação!P11</f>
        <v>Real Sociedad</v>
      </c>
      <c r="N13" s="40"/>
    </row>
    <row r="14" spans="2:14" s="146" customFormat="1" ht="12.75" customHeight="1" x14ac:dyDescent="0.2">
      <c r="D14" s="36"/>
      <c r="I14" s="30"/>
      <c r="K14" s="36"/>
      <c r="M14" s="30"/>
      <c r="N14" s="40"/>
    </row>
    <row r="15" spans="2:14" s="146" customFormat="1" ht="12.75" customHeight="1" x14ac:dyDescent="0.2">
      <c r="B15" s="37" t="str">
        <f>Classificação!P12</f>
        <v>Sporting</v>
      </c>
      <c r="C15" s="38">
        <v>2</v>
      </c>
      <c r="D15" s="39" t="s">
        <v>20</v>
      </c>
      <c r="E15" s="38">
        <v>0</v>
      </c>
      <c r="F15" s="37" t="str">
        <f>Classificação!P28</f>
        <v>Borussia M</v>
      </c>
      <c r="I15" s="29" t="str">
        <f>Classificação!P33</f>
        <v>Everton</v>
      </c>
      <c r="J15" s="38">
        <v>1</v>
      </c>
      <c r="K15" s="39" t="s">
        <v>20</v>
      </c>
      <c r="L15" s="38">
        <v>3</v>
      </c>
      <c r="M15" s="29" t="str">
        <f>Classificação!P12</f>
        <v>Sporting</v>
      </c>
      <c r="N15" s="40"/>
    </row>
    <row r="16" spans="2:14" s="146" customFormat="1" ht="12.75" customHeight="1" x14ac:dyDescent="0.2">
      <c r="D16" s="36"/>
      <c r="I16" s="40"/>
      <c r="K16" s="36"/>
      <c r="M16" s="40"/>
      <c r="N16" s="40"/>
    </row>
    <row r="17" spans="2:14" s="146" customFormat="1" ht="12.75" customHeight="1" x14ac:dyDescent="0.2">
      <c r="B17" s="37" t="str">
        <f>Classificação!P13</f>
        <v>Schalke 04</v>
      </c>
      <c r="C17" s="38">
        <v>0</v>
      </c>
      <c r="D17" s="39" t="s">
        <v>20</v>
      </c>
      <c r="E17" s="38">
        <v>1</v>
      </c>
      <c r="F17" s="37" t="str">
        <f>Classificação!P29</f>
        <v>Villarreal</v>
      </c>
      <c r="I17" s="29" t="str">
        <f>Classificação!P34</f>
        <v>Torino</v>
      </c>
      <c r="J17" s="38">
        <v>1</v>
      </c>
      <c r="K17" s="39" t="s">
        <v>20</v>
      </c>
      <c r="L17" s="38">
        <v>1</v>
      </c>
      <c r="M17" s="29" t="str">
        <f>Classificação!P13</f>
        <v>Schalke 04</v>
      </c>
      <c r="N17" s="40"/>
    </row>
    <row r="18" spans="2:14" s="146" customFormat="1" ht="12.75" customHeight="1" x14ac:dyDescent="0.2">
      <c r="D18" s="36"/>
      <c r="I18" s="30"/>
      <c r="K18" s="36"/>
      <c r="M18" s="30"/>
      <c r="N18" s="40"/>
    </row>
    <row r="19" spans="2:14" s="146" customFormat="1" ht="12.75" customHeight="1" x14ac:dyDescent="0.2">
      <c r="B19" s="37" t="str">
        <f>Classificação!P14</f>
        <v>Galatasaray</v>
      </c>
      <c r="C19" s="38"/>
      <c r="D19" s="39" t="s">
        <v>20</v>
      </c>
      <c r="E19" s="38"/>
      <c r="F19" s="37" t="str">
        <f>Classificação!P30</f>
        <v>R B Leipzig</v>
      </c>
      <c r="I19" s="29" t="str">
        <f>Classificação!P35</f>
        <v>W.O</v>
      </c>
      <c r="J19" s="38"/>
      <c r="K19" s="39" t="s">
        <v>20</v>
      </c>
      <c r="L19" s="38"/>
      <c r="M19" s="29" t="str">
        <f>Classificação!P14</f>
        <v>Galatasaray</v>
      </c>
      <c r="N19" s="40"/>
    </row>
    <row r="20" spans="2:14" s="146" customFormat="1" ht="12.75" customHeight="1" x14ac:dyDescent="0.2">
      <c r="D20" s="36"/>
      <c r="I20" s="30"/>
      <c r="K20" s="36"/>
      <c r="M20" s="30"/>
      <c r="N20" s="40"/>
    </row>
    <row r="21" spans="2:14" s="146" customFormat="1" ht="12.75" customHeight="1" x14ac:dyDescent="0.2">
      <c r="B21" s="37" t="str">
        <f>Classificação!P15</f>
        <v>Athl. De Bilbao</v>
      </c>
      <c r="C21" s="38">
        <v>1</v>
      </c>
      <c r="D21" s="39" t="s">
        <v>20</v>
      </c>
      <c r="E21" s="38">
        <v>1</v>
      </c>
      <c r="F21" s="37" t="str">
        <f>Classificação!P31</f>
        <v>Real Betis</v>
      </c>
      <c r="I21" s="29" t="str">
        <f>Classificação!P25</f>
        <v>Sevilla</v>
      </c>
      <c r="J21" s="38">
        <v>3</v>
      </c>
      <c r="K21" s="39" t="s">
        <v>20</v>
      </c>
      <c r="L21" s="38">
        <v>2</v>
      </c>
      <c r="M21" s="29" t="str">
        <f>Classificação!P15</f>
        <v>Athl. De Bilbao</v>
      </c>
      <c r="N21" s="40"/>
    </row>
    <row r="22" spans="2:14" s="146" customFormat="1" ht="12.75" customHeight="1" x14ac:dyDescent="0.2">
      <c r="D22" s="36"/>
      <c r="I22" s="30"/>
      <c r="K22" s="36"/>
      <c r="M22" s="30"/>
      <c r="N22" s="40"/>
    </row>
    <row r="23" spans="2:14" s="146" customFormat="1" ht="12.75" customHeight="1" x14ac:dyDescent="0.2">
      <c r="B23" s="37" t="str">
        <f>Classificação!P16</f>
        <v>Monaco</v>
      </c>
      <c r="C23" s="38">
        <v>0</v>
      </c>
      <c r="D23" s="39" t="s">
        <v>20</v>
      </c>
      <c r="E23" s="38">
        <v>1</v>
      </c>
      <c r="F23" s="37" t="str">
        <f>Classificação!P32</f>
        <v>Celta De Vigo</v>
      </c>
      <c r="I23" s="29" t="str">
        <f>Classificação!P26</f>
        <v>P S V</v>
      </c>
      <c r="J23" s="38">
        <v>2</v>
      </c>
      <c r="K23" s="39" t="s">
        <v>20</v>
      </c>
      <c r="L23" s="38">
        <v>1</v>
      </c>
      <c r="M23" s="29" t="str">
        <f>Classificação!P16</f>
        <v>Monaco</v>
      </c>
      <c r="N23" s="40"/>
    </row>
    <row r="24" spans="2:14" s="146" customFormat="1" ht="12.75" customHeight="1" x14ac:dyDescent="0.2">
      <c r="D24" s="36"/>
      <c r="I24" s="40"/>
      <c r="K24" s="36"/>
      <c r="M24" s="40"/>
      <c r="N24" s="40"/>
    </row>
    <row r="25" spans="2:14" s="146" customFormat="1" ht="12.75" customHeight="1" x14ac:dyDescent="0.2">
      <c r="B25" s="37" t="str">
        <f>Classificação!P17</f>
        <v>Beşiktaş</v>
      </c>
      <c r="C25" s="38">
        <v>4</v>
      </c>
      <c r="D25" s="39" t="s">
        <v>20</v>
      </c>
      <c r="E25" s="38">
        <v>1</v>
      </c>
      <c r="F25" s="37" t="str">
        <f>Classificação!P33</f>
        <v>Everton</v>
      </c>
      <c r="I25" s="29" t="str">
        <f>Classificação!P27</f>
        <v>Crystal Palace</v>
      </c>
      <c r="J25" s="38">
        <v>0</v>
      </c>
      <c r="K25" s="39" t="s">
        <v>20</v>
      </c>
      <c r="L25" s="38">
        <v>0</v>
      </c>
      <c r="M25" s="29" t="str">
        <f>Classificação!P17</f>
        <v>Beşiktaş</v>
      </c>
      <c r="N25" s="40"/>
    </row>
    <row r="26" spans="2:14" s="146" customFormat="1" ht="12.75" customHeight="1" x14ac:dyDescent="0.2">
      <c r="B26" s="36"/>
      <c r="C26" s="40"/>
      <c r="D26" s="40"/>
      <c r="E26" s="40"/>
      <c r="F26" s="36"/>
      <c r="I26" s="30"/>
      <c r="J26" s="40"/>
      <c r="K26" s="40"/>
      <c r="L26" s="40"/>
      <c r="M26" s="30"/>
      <c r="N26" s="40"/>
    </row>
    <row r="27" spans="2:14" s="146" customFormat="1" ht="12.75" customHeight="1" x14ac:dyDescent="0.2">
      <c r="B27" s="37" t="str">
        <f>Classificação!P18</f>
        <v>West Ham</v>
      </c>
      <c r="C27" s="38">
        <v>0</v>
      </c>
      <c r="D27" s="39" t="s">
        <v>20</v>
      </c>
      <c r="E27" s="38">
        <v>2</v>
      </c>
      <c r="F27" s="37" t="str">
        <f>Classificação!P34</f>
        <v>Torino</v>
      </c>
      <c r="I27" s="29" t="str">
        <f>Classificação!P28</f>
        <v>Borussia M</v>
      </c>
      <c r="J27" s="38">
        <v>0</v>
      </c>
      <c r="K27" s="39" t="s">
        <v>20</v>
      </c>
      <c r="L27" s="38">
        <v>3</v>
      </c>
      <c r="M27" s="29" t="str">
        <f>Classificação!P18</f>
        <v>West Ham</v>
      </c>
      <c r="N27" s="40"/>
    </row>
    <row r="28" spans="2:14" s="146" customFormat="1" ht="12.75" customHeight="1" x14ac:dyDescent="0.2">
      <c r="B28" s="36"/>
      <c r="C28" s="40"/>
      <c r="D28" s="36"/>
      <c r="E28" s="40"/>
      <c r="F28" s="36"/>
      <c r="I28" s="30"/>
      <c r="J28" s="40"/>
      <c r="K28" s="36"/>
      <c r="L28" s="40"/>
      <c r="M28" s="30"/>
      <c r="N28" s="40"/>
    </row>
    <row r="29" spans="2:14" s="146" customFormat="1" ht="12.75" customHeight="1" x14ac:dyDescent="0.2">
      <c r="B29" s="37" t="str">
        <f>Classificação!P19</f>
        <v>Olympique</v>
      </c>
      <c r="C29" s="38"/>
      <c r="D29" s="39" t="s">
        <v>20</v>
      </c>
      <c r="E29" s="38"/>
      <c r="F29" s="37" t="str">
        <f>Classificação!P35</f>
        <v>W.O</v>
      </c>
      <c r="I29" s="29" t="str">
        <f>Classificação!P29</f>
        <v>Villarreal</v>
      </c>
      <c r="J29" s="38">
        <v>0</v>
      </c>
      <c r="K29" s="39" t="s">
        <v>20</v>
      </c>
      <c r="L29" s="38">
        <v>1</v>
      </c>
      <c r="M29" s="29" t="str">
        <f>Classificação!P19</f>
        <v>Olympique</v>
      </c>
      <c r="N29" s="40"/>
    </row>
    <row r="30" spans="2:14" s="146" customFormat="1" ht="12.75" customHeight="1" x14ac:dyDescent="0.2">
      <c r="D30" s="36"/>
      <c r="K30" s="36"/>
    </row>
    <row r="31" spans="2:14" s="146" customFormat="1" ht="12.75" customHeight="1" x14ac:dyDescent="0.2">
      <c r="D31" s="36"/>
      <c r="K31" s="36"/>
    </row>
    <row r="32" spans="2:14" s="146" customFormat="1" ht="12.75" customHeight="1" x14ac:dyDescent="0.2">
      <c r="D32" s="36"/>
      <c r="K32" s="36"/>
    </row>
    <row r="33" spans="2:14" s="146" customFormat="1" ht="12.75" customHeight="1" x14ac:dyDescent="0.2">
      <c r="B33" s="31" t="s">
        <v>22</v>
      </c>
      <c r="D33" s="36"/>
      <c r="I33" s="75" t="s">
        <v>28</v>
      </c>
      <c r="K33" s="36"/>
    </row>
    <row r="34" spans="2:14" s="146" customFormat="1" ht="12.75" customHeight="1" x14ac:dyDescent="0.2">
      <c r="D34" s="36"/>
      <c r="K34" s="36"/>
    </row>
    <row r="35" spans="2:14" s="146" customFormat="1" ht="12.75" customHeight="1" x14ac:dyDescent="0.2">
      <c r="D35" s="40"/>
      <c r="I35" s="40"/>
      <c r="K35" s="40"/>
      <c r="M35" s="40"/>
      <c r="N35" s="40"/>
    </row>
    <row r="36" spans="2:14" s="146" customFormat="1" ht="12.75" customHeight="1" x14ac:dyDescent="0.2">
      <c r="B36" s="37" t="str">
        <f>Classificação!P35</f>
        <v>W.O</v>
      </c>
      <c r="C36" s="38"/>
      <c r="D36" s="39" t="s">
        <v>20</v>
      </c>
      <c r="E36" s="38"/>
      <c r="F36" s="37" t="str">
        <f>Classificação!P9</f>
        <v> Atalanta</v>
      </c>
      <c r="I36" s="29" t="str">
        <f>Classificação!P9</f>
        <v> Atalanta</v>
      </c>
      <c r="J36" s="38">
        <v>2</v>
      </c>
      <c r="K36" s="39" t="s">
        <v>20</v>
      </c>
      <c r="L36" s="38">
        <v>2</v>
      </c>
      <c r="M36" s="29" t="str">
        <f>Classificação!P29</f>
        <v>Villarreal</v>
      </c>
      <c r="N36" s="40"/>
    </row>
    <row r="37" spans="2:14" s="146" customFormat="1" ht="12.75" customHeight="1" x14ac:dyDescent="0.2">
      <c r="D37" s="36"/>
      <c r="I37" s="30"/>
      <c r="K37" s="36"/>
      <c r="M37" s="30"/>
      <c r="N37" s="40"/>
    </row>
    <row r="38" spans="2:14" s="146" customFormat="1" ht="12.75" customHeight="1" x14ac:dyDescent="0.2">
      <c r="B38" s="37" t="str">
        <f>Classificação!P25</f>
        <v>Sevilla</v>
      </c>
      <c r="C38" s="38">
        <v>3</v>
      </c>
      <c r="D38" s="39" t="s">
        <v>20</v>
      </c>
      <c r="E38" s="38">
        <v>1</v>
      </c>
      <c r="F38" s="37" t="str">
        <f>Classificação!P10</f>
        <v>Hoffenheim</v>
      </c>
      <c r="I38" s="29" t="str">
        <f>Classificação!P10</f>
        <v>Hoffenheim</v>
      </c>
      <c r="J38" s="38">
        <v>1</v>
      </c>
      <c r="K38" s="39" t="s">
        <v>20</v>
      </c>
      <c r="L38" s="38">
        <v>3</v>
      </c>
      <c r="M38" s="29" t="str">
        <f>Classificação!P30</f>
        <v>R B Leipzig</v>
      </c>
      <c r="N38" s="40"/>
    </row>
    <row r="39" spans="2:14" s="146" customFormat="1" ht="12.75" customHeight="1" x14ac:dyDescent="0.2">
      <c r="D39" s="36"/>
      <c r="I39" s="30"/>
      <c r="K39" s="36"/>
      <c r="M39" s="30"/>
      <c r="N39" s="40"/>
    </row>
    <row r="40" spans="2:14" s="146" customFormat="1" ht="12.75" customHeight="1" x14ac:dyDescent="0.2">
      <c r="B40" s="37" t="str">
        <f>Classificação!P26</f>
        <v>P S V</v>
      </c>
      <c r="C40" s="38">
        <v>2</v>
      </c>
      <c r="D40" s="39" t="s">
        <v>20</v>
      </c>
      <c r="E40" s="38">
        <v>0</v>
      </c>
      <c r="F40" s="37" t="str">
        <f>Classificação!P11</f>
        <v>Real Sociedad</v>
      </c>
      <c r="I40" s="29" t="str">
        <f>Classificação!P11</f>
        <v>Real Sociedad</v>
      </c>
      <c r="J40" s="38">
        <v>2</v>
      </c>
      <c r="K40" s="39" t="s">
        <v>20</v>
      </c>
      <c r="L40" s="38">
        <v>1</v>
      </c>
      <c r="M40" s="29" t="str">
        <f>Classificação!P31</f>
        <v>Real Betis</v>
      </c>
      <c r="N40" s="40"/>
    </row>
    <row r="41" spans="2:14" s="146" customFormat="1" ht="12.75" customHeight="1" x14ac:dyDescent="0.2">
      <c r="D41" s="36"/>
      <c r="I41" s="30"/>
      <c r="K41" s="36"/>
      <c r="M41" s="30"/>
      <c r="N41" s="40"/>
    </row>
    <row r="42" spans="2:14" s="146" customFormat="1" ht="12.75" customHeight="1" x14ac:dyDescent="0.2">
      <c r="B42" s="37" t="str">
        <f>Classificação!P27</f>
        <v>Crystal Palace</v>
      </c>
      <c r="C42" s="38">
        <v>1</v>
      </c>
      <c r="D42" s="39" t="s">
        <v>20</v>
      </c>
      <c r="E42" s="38">
        <v>1</v>
      </c>
      <c r="F42" s="37" t="str">
        <f>Classificação!P12</f>
        <v>Sporting</v>
      </c>
      <c r="I42" s="29" t="str">
        <f>Classificação!P12</f>
        <v>Sporting</v>
      </c>
      <c r="J42" s="38">
        <v>0</v>
      </c>
      <c r="K42" s="39" t="s">
        <v>20</v>
      </c>
      <c r="L42" s="38">
        <v>1</v>
      </c>
      <c r="M42" s="29" t="str">
        <f>Classificação!P32</f>
        <v>Celta De Vigo</v>
      </c>
      <c r="N42" s="40"/>
    </row>
    <row r="43" spans="2:14" s="146" customFormat="1" ht="12.75" customHeight="1" x14ac:dyDescent="0.2">
      <c r="D43" s="36"/>
      <c r="I43" s="40"/>
      <c r="K43" s="36"/>
      <c r="M43" s="40"/>
      <c r="N43" s="40"/>
    </row>
    <row r="44" spans="2:14" s="146" customFormat="1" ht="12.75" customHeight="1" x14ac:dyDescent="0.2">
      <c r="B44" s="37" t="str">
        <f>Classificação!P28</f>
        <v>Borussia M</v>
      </c>
      <c r="C44" s="38">
        <v>1</v>
      </c>
      <c r="D44" s="39" t="s">
        <v>20</v>
      </c>
      <c r="E44" s="38">
        <v>0</v>
      </c>
      <c r="F44" s="37" t="str">
        <f>Classificação!P13</f>
        <v>Schalke 04</v>
      </c>
      <c r="I44" s="29" t="str">
        <f>Classificação!P13</f>
        <v>Schalke 04</v>
      </c>
      <c r="J44" s="38">
        <v>4</v>
      </c>
      <c r="K44" s="39" t="s">
        <v>20</v>
      </c>
      <c r="L44" s="38">
        <v>1</v>
      </c>
      <c r="M44" s="29" t="str">
        <f>Classificação!P33</f>
        <v>Everton</v>
      </c>
      <c r="N44" s="40"/>
    </row>
    <row r="45" spans="2:14" s="146" customFormat="1" ht="12.75" customHeight="1" x14ac:dyDescent="0.2">
      <c r="D45" s="36"/>
      <c r="I45" s="30"/>
      <c r="K45" s="36"/>
      <c r="M45" s="30"/>
      <c r="N45" s="40"/>
    </row>
    <row r="46" spans="2:14" s="146" customFormat="1" ht="12.75" customHeight="1" x14ac:dyDescent="0.2">
      <c r="B46" s="37" t="str">
        <f>Classificação!P29</f>
        <v>Villarreal</v>
      </c>
      <c r="C46" s="38"/>
      <c r="D46" s="39" t="s">
        <v>20</v>
      </c>
      <c r="E46" s="38"/>
      <c r="F46" s="37" t="str">
        <f>Classificação!P14</f>
        <v>Galatasaray</v>
      </c>
      <c r="I46" s="29" t="str">
        <f>Classificação!P14</f>
        <v>Galatasaray</v>
      </c>
      <c r="J46" s="38"/>
      <c r="K46" s="39" t="s">
        <v>20</v>
      </c>
      <c r="L46" s="38"/>
      <c r="M46" s="29" t="str">
        <f>Classificação!P34</f>
        <v>Torino</v>
      </c>
      <c r="N46" s="40"/>
    </row>
    <row r="47" spans="2:14" s="146" customFormat="1" ht="12.75" customHeight="1" x14ac:dyDescent="0.2">
      <c r="D47" s="36"/>
      <c r="I47" s="30"/>
      <c r="K47" s="36"/>
      <c r="M47" s="30"/>
      <c r="N47" s="40"/>
    </row>
    <row r="48" spans="2:14" s="146" customFormat="1" ht="12.75" customHeight="1" x14ac:dyDescent="0.2">
      <c r="B48" s="37" t="str">
        <f>Classificação!P30</f>
        <v>R B Leipzig</v>
      </c>
      <c r="C48" s="38">
        <v>1</v>
      </c>
      <c r="D48" s="39" t="s">
        <v>20</v>
      </c>
      <c r="E48" s="38">
        <v>1</v>
      </c>
      <c r="F48" s="37" t="str">
        <f>Classificação!P15</f>
        <v>Athl. De Bilbao</v>
      </c>
      <c r="I48" s="29" t="str">
        <f>Classificação!P15</f>
        <v>Athl. De Bilbao</v>
      </c>
      <c r="J48" s="38"/>
      <c r="K48" s="39" t="s">
        <v>20</v>
      </c>
      <c r="L48" s="38"/>
      <c r="M48" s="29" t="str">
        <f>Classificação!P35</f>
        <v>W.O</v>
      </c>
      <c r="N48" s="40"/>
    </row>
    <row r="49" spans="2:14" s="146" customFormat="1" ht="12.75" customHeight="1" x14ac:dyDescent="0.2">
      <c r="D49" s="36"/>
      <c r="I49" s="30"/>
      <c r="K49" s="36"/>
      <c r="M49" s="30"/>
      <c r="N49" s="40"/>
    </row>
    <row r="50" spans="2:14" s="146" customFormat="1" ht="12.75" customHeight="1" x14ac:dyDescent="0.2">
      <c r="B50" s="37" t="str">
        <f>Classificação!P31</f>
        <v>Real Betis</v>
      </c>
      <c r="C50" s="38">
        <v>1</v>
      </c>
      <c r="D50" s="39" t="s">
        <v>20</v>
      </c>
      <c r="E50" s="38">
        <v>1</v>
      </c>
      <c r="F50" s="37" t="str">
        <f>Classificação!P16</f>
        <v>Monaco</v>
      </c>
      <c r="I50" s="29" t="str">
        <f>Classificação!P16</f>
        <v>Monaco</v>
      </c>
      <c r="J50" s="38">
        <v>1</v>
      </c>
      <c r="K50" s="39" t="s">
        <v>20</v>
      </c>
      <c r="L50" s="38">
        <v>0</v>
      </c>
      <c r="M50" s="29" t="str">
        <f>Classificação!P25</f>
        <v>Sevilla</v>
      </c>
      <c r="N50" s="40"/>
    </row>
    <row r="51" spans="2:14" s="146" customFormat="1" ht="12.75" customHeight="1" x14ac:dyDescent="0.2">
      <c r="D51" s="36"/>
      <c r="I51" s="40"/>
      <c r="K51" s="36"/>
      <c r="M51" s="40"/>
      <c r="N51" s="40"/>
    </row>
    <row r="52" spans="2:14" s="146" customFormat="1" ht="12.75" customHeight="1" x14ac:dyDescent="0.2">
      <c r="B52" s="37" t="str">
        <f>Classificação!P32</f>
        <v>Celta De Vigo</v>
      </c>
      <c r="C52" s="38">
        <v>3</v>
      </c>
      <c r="D52" s="39" t="s">
        <v>20</v>
      </c>
      <c r="E52" s="38">
        <v>1</v>
      </c>
      <c r="F52" s="37" t="str">
        <f>Classificação!P17</f>
        <v>Beşiktaş</v>
      </c>
      <c r="I52" s="29" t="str">
        <f>Classificação!P17</f>
        <v>Beşiktaş</v>
      </c>
      <c r="J52" s="38">
        <v>0</v>
      </c>
      <c r="K52" s="39" t="s">
        <v>20</v>
      </c>
      <c r="L52" s="38">
        <v>1</v>
      </c>
      <c r="M52" s="29" t="str">
        <f>Classificação!P26</f>
        <v>P S V</v>
      </c>
      <c r="N52" s="40"/>
    </row>
    <row r="53" spans="2:14" s="146" customFormat="1" ht="12.75" customHeight="1" x14ac:dyDescent="0.2">
      <c r="B53" s="40"/>
      <c r="C53" s="40"/>
      <c r="D53" s="40"/>
      <c r="E53" s="40"/>
      <c r="F53" s="40"/>
      <c r="I53" s="30"/>
      <c r="J53" s="40"/>
      <c r="K53" s="40"/>
      <c r="L53" s="40"/>
      <c r="M53" s="30"/>
      <c r="N53" s="40"/>
    </row>
    <row r="54" spans="2:14" s="146" customFormat="1" ht="12.75" customHeight="1" x14ac:dyDescent="0.2">
      <c r="B54" s="37" t="str">
        <f>Classificação!P33</f>
        <v>Everton</v>
      </c>
      <c r="C54" s="38">
        <v>3</v>
      </c>
      <c r="D54" s="39" t="s">
        <v>20</v>
      </c>
      <c r="E54" s="38">
        <v>3</v>
      </c>
      <c r="F54" s="37" t="str">
        <f>Classificação!P18</f>
        <v>West Ham</v>
      </c>
      <c r="I54" s="29" t="str">
        <f>Classificação!P18</f>
        <v>West Ham</v>
      </c>
      <c r="J54" s="38">
        <v>0</v>
      </c>
      <c r="K54" s="39" t="s">
        <v>20</v>
      </c>
      <c r="L54" s="38">
        <v>1</v>
      </c>
      <c r="M54" s="29" t="str">
        <f>Classificação!P27</f>
        <v>Crystal Palace</v>
      </c>
      <c r="N54" s="40"/>
    </row>
    <row r="55" spans="2:14" s="146" customFormat="1" ht="12.75" customHeight="1" x14ac:dyDescent="0.2">
      <c r="C55" s="40"/>
      <c r="D55" s="36"/>
      <c r="E55" s="40"/>
      <c r="I55" s="30"/>
      <c r="J55" s="40"/>
      <c r="K55" s="36"/>
      <c r="L55" s="40"/>
      <c r="M55" s="30"/>
      <c r="N55" s="40"/>
    </row>
    <row r="56" spans="2:14" s="146" customFormat="1" ht="12.75" customHeight="1" x14ac:dyDescent="0.2">
      <c r="B56" s="37" t="str">
        <f>Classificação!P34</f>
        <v>Torino</v>
      </c>
      <c r="C56" s="38">
        <v>2</v>
      </c>
      <c r="D56" s="39" t="s">
        <v>20</v>
      </c>
      <c r="E56" s="38">
        <v>1</v>
      </c>
      <c r="F56" s="37" t="str">
        <f>Classificação!P19</f>
        <v>Olympique</v>
      </c>
      <c r="I56" s="29" t="str">
        <f>Classificação!P19</f>
        <v>Olympique</v>
      </c>
      <c r="J56" s="38">
        <v>0</v>
      </c>
      <c r="K56" s="39" t="s">
        <v>20</v>
      </c>
      <c r="L56" s="38">
        <v>0</v>
      </c>
      <c r="M56" s="29" t="str">
        <f>Classificação!P28</f>
        <v>Borussia M</v>
      </c>
      <c r="N56" s="40"/>
    </row>
    <row r="57" spans="2:14" s="146" customFormat="1" ht="12.75" customHeight="1" x14ac:dyDescent="0.2">
      <c r="B57" s="40"/>
      <c r="C57" s="40"/>
      <c r="D57" s="36"/>
      <c r="E57" s="40"/>
      <c r="F57" s="40"/>
      <c r="H57" s="36"/>
      <c r="I57" s="124"/>
      <c r="J57" s="40"/>
      <c r="K57" s="36"/>
      <c r="L57" s="40"/>
      <c r="M57" s="124"/>
      <c r="N57" s="40"/>
    </row>
    <row r="58" spans="2:14" s="146" customFormat="1" ht="12.75" customHeight="1" x14ac:dyDescent="0.2">
      <c r="D58" s="40"/>
      <c r="H58" s="36"/>
      <c r="I58" s="40"/>
      <c r="J58" s="36"/>
      <c r="K58" s="40"/>
      <c r="L58" s="36"/>
      <c r="M58" s="40"/>
      <c r="N58" s="40"/>
    </row>
    <row r="59" spans="2:14" s="146" customFormat="1" ht="12.75" customHeight="1" x14ac:dyDescent="0.2">
      <c r="D59" s="36"/>
      <c r="K59" s="36"/>
    </row>
    <row r="60" spans="2:14" s="146" customFormat="1" ht="12.75" customHeight="1" x14ac:dyDescent="0.2">
      <c r="D60" s="36"/>
      <c r="K60" s="36"/>
    </row>
    <row r="61" spans="2:14" s="146" customFormat="1" ht="12.75" customHeight="1" x14ac:dyDescent="0.2">
      <c r="B61" s="32" t="s">
        <v>23</v>
      </c>
      <c r="D61" s="36"/>
      <c r="I61" s="76" t="s">
        <v>29</v>
      </c>
      <c r="K61" s="36"/>
    </row>
    <row r="62" spans="2:14" s="146" customFormat="1" ht="12.75" customHeight="1" x14ac:dyDescent="0.2">
      <c r="D62" s="36"/>
      <c r="K62" s="36"/>
    </row>
    <row r="63" spans="2:14" s="146" customFormat="1" ht="12.75" customHeight="1" x14ac:dyDescent="0.2">
      <c r="D63" s="40"/>
      <c r="I63" s="40"/>
      <c r="K63" s="40"/>
      <c r="M63" s="40"/>
      <c r="N63" s="40"/>
    </row>
    <row r="64" spans="2:14" s="146" customFormat="1" ht="12.75" customHeight="1" x14ac:dyDescent="0.2">
      <c r="B64" s="37" t="str">
        <f>Classificação!P9</f>
        <v> Atalanta</v>
      </c>
      <c r="C64" s="38">
        <v>1</v>
      </c>
      <c r="D64" s="39" t="s">
        <v>20</v>
      </c>
      <c r="E64" s="38">
        <v>0</v>
      </c>
      <c r="F64" s="37" t="str">
        <f>Classificação!P34</f>
        <v>Torino</v>
      </c>
      <c r="I64" s="29" t="str">
        <f>Classificação!P28</f>
        <v>Borussia M</v>
      </c>
      <c r="J64" s="38">
        <v>2</v>
      </c>
      <c r="K64" s="39" t="s">
        <v>20</v>
      </c>
      <c r="L64" s="38">
        <v>2</v>
      </c>
      <c r="M64" s="29" t="str">
        <f>Classificação!P9</f>
        <v> Atalanta</v>
      </c>
      <c r="N64" s="40"/>
    </row>
    <row r="65" spans="2:14" s="146" customFormat="1" ht="12.75" customHeight="1" x14ac:dyDescent="0.2">
      <c r="D65" s="36"/>
      <c r="I65" s="30"/>
      <c r="K65" s="36"/>
      <c r="M65" s="30"/>
      <c r="N65" s="40"/>
    </row>
    <row r="66" spans="2:14" s="146" customFormat="1" ht="12.75" customHeight="1" x14ac:dyDescent="0.2">
      <c r="B66" s="37" t="str">
        <f>Classificação!P10</f>
        <v>Hoffenheim</v>
      </c>
      <c r="C66" s="38"/>
      <c r="D66" s="39" t="s">
        <v>20</v>
      </c>
      <c r="E66" s="38"/>
      <c r="F66" s="37" t="str">
        <f>Classificação!P35</f>
        <v>W.O</v>
      </c>
      <c r="I66" s="29" t="str">
        <f>Classificação!P29</f>
        <v>Villarreal</v>
      </c>
      <c r="J66" s="38">
        <v>1</v>
      </c>
      <c r="K66" s="39" t="s">
        <v>20</v>
      </c>
      <c r="L66" s="38">
        <v>0</v>
      </c>
      <c r="M66" s="29" t="str">
        <f>Classificação!P10</f>
        <v>Hoffenheim</v>
      </c>
      <c r="N66" s="40"/>
    </row>
    <row r="67" spans="2:14" s="146" customFormat="1" ht="12.75" customHeight="1" x14ac:dyDescent="0.2">
      <c r="D67" s="36"/>
      <c r="I67" s="30"/>
      <c r="K67" s="36"/>
      <c r="M67" s="30"/>
      <c r="N67" s="40"/>
    </row>
    <row r="68" spans="2:14" s="146" customFormat="1" ht="12.75" customHeight="1" x14ac:dyDescent="0.2">
      <c r="B68" s="37" t="str">
        <f>Classificação!P11</f>
        <v>Real Sociedad</v>
      </c>
      <c r="C68" s="38">
        <v>1</v>
      </c>
      <c r="D68" s="39" t="s">
        <v>20</v>
      </c>
      <c r="E68" s="38">
        <v>0</v>
      </c>
      <c r="F68" s="37" t="str">
        <f>Classificação!P25</f>
        <v>Sevilla</v>
      </c>
      <c r="I68" s="29" t="str">
        <f>Classificação!P30</f>
        <v>R B Leipzig</v>
      </c>
      <c r="J68" s="38">
        <v>2</v>
      </c>
      <c r="K68" s="39" t="s">
        <v>20</v>
      </c>
      <c r="L68" s="38">
        <v>0</v>
      </c>
      <c r="M68" s="29" t="str">
        <f>Classificação!P11</f>
        <v>Real Sociedad</v>
      </c>
      <c r="N68" s="40"/>
    </row>
    <row r="69" spans="2:14" s="146" customFormat="1" ht="12.75" customHeight="1" x14ac:dyDescent="0.2">
      <c r="D69" s="36"/>
      <c r="I69" s="30"/>
      <c r="K69" s="36"/>
      <c r="M69" s="30"/>
      <c r="N69" s="40"/>
    </row>
    <row r="70" spans="2:14" s="146" customFormat="1" ht="12.75" customHeight="1" x14ac:dyDescent="0.2">
      <c r="B70" s="37" t="str">
        <f>Classificação!P12</f>
        <v>Sporting</v>
      </c>
      <c r="C70" s="38">
        <v>1</v>
      </c>
      <c r="D70" s="39" t="s">
        <v>20</v>
      </c>
      <c r="E70" s="38">
        <v>1</v>
      </c>
      <c r="F70" s="37" t="str">
        <f>Classificação!P26</f>
        <v>P S V</v>
      </c>
      <c r="I70" s="29" t="str">
        <f>Classificação!P31</f>
        <v>Real Betis</v>
      </c>
      <c r="J70" s="38">
        <v>1</v>
      </c>
      <c r="K70" s="39" t="s">
        <v>20</v>
      </c>
      <c r="L70" s="38">
        <v>2</v>
      </c>
      <c r="M70" s="29" t="str">
        <f>Classificação!P12</f>
        <v>Sporting</v>
      </c>
      <c r="N70" s="40"/>
    </row>
    <row r="71" spans="2:14" s="146" customFormat="1" ht="12.75" customHeight="1" x14ac:dyDescent="0.2">
      <c r="D71" s="36"/>
      <c r="I71" s="40"/>
      <c r="K71" s="36"/>
      <c r="M71" s="40"/>
      <c r="N71" s="40"/>
    </row>
    <row r="72" spans="2:14" s="146" customFormat="1" ht="12.75" customHeight="1" x14ac:dyDescent="0.2">
      <c r="B72" s="37" t="str">
        <f>Classificação!P13</f>
        <v>Schalke 04</v>
      </c>
      <c r="C72" s="38">
        <v>0</v>
      </c>
      <c r="D72" s="39" t="s">
        <v>20</v>
      </c>
      <c r="E72" s="38">
        <v>0</v>
      </c>
      <c r="F72" s="37" t="str">
        <f>Classificação!P27</f>
        <v>Crystal Palace</v>
      </c>
      <c r="I72" s="29" t="str">
        <f>Classificação!P32</f>
        <v>Celta De Vigo</v>
      </c>
      <c r="J72" s="38">
        <v>1</v>
      </c>
      <c r="K72" s="39" t="s">
        <v>20</v>
      </c>
      <c r="L72" s="38">
        <v>0</v>
      </c>
      <c r="M72" s="29" t="str">
        <f>Classificação!P13</f>
        <v>Schalke 04</v>
      </c>
      <c r="N72" s="40"/>
    </row>
    <row r="73" spans="2:14" s="146" customFormat="1" ht="12.75" customHeight="1" x14ac:dyDescent="0.2">
      <c r="D73" s="36"/>
      <c r="I73" s="30"/>
      <c r="K73" s="36"/>
      <c r="M73" s="30"/>
      <c r="N73" s="40"/>
    </row>
    <row r="74" spans="2:14" s="146" customFormat="1" ht="12.75" customHeight="1" x14ac:dyDescent="0.2">
      <c r="B74" s="37" t="str">
        <f>Classificação!P14</f>
        <v>Galatasaray</v>
      </c>
      <c r="C74" s="38"/>
      <c r="D74" s="39" t="s">
        <v>20</v>
      </c>
      <c r="E74" s="38"/>
      <c r="F74" s="37" t="str">
        <f>Classificação!P28</f>
        <v>Borussia M</v>
      </c>
      <c r="I74" s="29" t="str">
        <f>Classificação!P33</f>
        <v>Everton</v>
      </c>
      <c r="J74" s="38"/>
      <c r="K74" s="39" t="s">
        <v>20</v>
      </c>
      <c r="L74" s="38"/>
      <c r="M74" s="29" t="str">
        <f>Classificação!P14</f>
        <v>Galatasaray</v>
      </c>
      <c r="N74" s="40"/>
    </row>
    <row r="75" spans="2:14" s="146" customFormat="1" ht="12.75" customHeight="1" x14ac:dyDescent="0.2">
      <c r="D75" s="36"/>
      <c r="I75" s="30"/>
      <c r="K75" s="36"/>
      <c r="M75" s="30"/>
      <c r="N75" s="40"/>
    </row>
    <row r="76" spans="2:14" s="146" customFormat="1" ht="12.75" customHeight="1" x14ac:dyDescent="0.2">
      <c r="B76" s="37" t="str">
        <f>Classificação!P15</f>
        <v>Athl. De Bilbao</v>
      </c>
      <c r="C76" s="38">
        <v>0</v>
      </c>
      <c r="D76" s="39" t="s">
        <v>20</v>
      </c>
      <c r="E76" s="38">
        <v>1</v>
      </c>
      <c r="F76" s="37" t="str">
        <f>Classificação!P29</f>
        <v>Villarreal</v>
      </c>
      <c r="I76" s="29" t="str">
        <f>Classificação!P34</f>
        <v>Torino</v>
      </c>
      <c r="J76" s="38">
        <v>3</v>
      </c>
      <c r="K76" s="39" t="s">
        <v>20</v>
      </c>
      <c r="L76" s="38">
        <v>0</v>
      </c>
      <c r="M76" s="29" t="str">
        <f>Classificação!P15</f>
        <v>Athl. De Bilbao</v>
      </c>
      <c r="N76" s="40"/>
    </row>
    <row r="77" spans="2:14" s="146" customFormat="1" ht="12.75" customHeight="1" x14ac:dyDescent="0.2">
      <c r="D77" s="36"/>
      <c r="I77" s="30"/>
      <c r="K77" s="36"/>
      <c r="M77" s="30"/>
      <c r="N77" s="40"/>
    </row>
    <row r="78" spans="2:14" s="146" customFormat="1" ht="12.75" customHeight="1" x14ac:dyDescent="0.2">
      <c r="B78" s="37" t="str">
        <f>Classificação!P16</f>
        <v>Monaco</v>
      </c>
      <c r="C78" s="38">
        <v>1</v>
      </c>
      <c r="D78" s="39" t="s">
        <v>20</v>
      </c>
      <c r="E78" s="38">
        <v>1</v>
      </c>
      <c r="F78" s="37" t="str">
        <f>Classificação!P30</f>
        <v>R B Leipzig</v>
      </c>
      <c r="I78" s="29" t="str">
        <f>Classificação!P35</f>
        <v>W.O</v>
      </c>
      <c r="J78" s="38"/>
      <c r="K78" s="39" t="s">
        <v>20</v>
      </c>
      <c r="L78" s="38"/>
      <c r="M78" s="29" t="str">
        <f>Classificação!P16</f>
        <v>Monaco</v>
      </c>
      <c r="N78" s="40"/>
    </row>
    <row r="79" spans="2:14" s="146" customFormat="1" ht="12.75" customHeight="1" x14ac:dyDescent="0.2">
      <c r="D79" s="36"/>
      <c r="I79" s="40"/>
      <c r="K79" s="36"/>
      <c r="M79" s="40"/>
      <c r="N79" s="40"/>
    </row>
    <row r="80" spans="2:14" s="146" customFormat="1" ht="12.75" customHeight="1" x14ac:dyDescent="0.2">
      <c r="B80" s="37" t="str">
        <f>Classificação!P17</f>
        <v>Beşiktaş</v>
      </c>
      <c r="C80" s="38">
        <v>1</v>
      </c>
      <c r="D80" s="39" t="s">
        <v>20</v>
      </c>
      <c r="E80" s="38">
        <v>1</v>
      </c>
      <c r="F80" s="37" t="str">
        <f>Classificação!P31</f>
        <v>Real Betis</v>
      </c>
      <c r="I80" s="29" t="str">
        <f>Classificação!P25</f>
        <v>Sevilla</v>
      </c>
      <c r="J80" s="38">
        <v>1</v>
      </c>
      <c r="K80" s="39" t="s">
        <v>20</v>
      </c>
      <c r="L80" s="38">
        <v>2</v>
      </c>
      <c r="M80" s="29" t="str">
        <f>Classificação!P17</f>
        <v>Beşiktaş</v>
      </c>
      <c r="N80" s="40"/>
    </row>
    <row r="81" spans="2:14" s="146" customFormat="1" ht="12.75" customHeight="1" x14ac:dyDescent="0.2">
      <c r="B81" s="36"/>
      <c r="C81" s="40"/>
      <c r="D81" s="40"/>
      <c r="E81" s="40"/>
      <c r="F81" s="36"/>
      <c r="I81" s="30"/>
      <c r="J81" s="40"/>
      <c r="K81" s="40"/>
      <c r="L81" s="40"/>
      <c r="M81" s="30"/>
      <c r="N81" s="40"/>
    </row>
    <row r="82" spans="2:14" s="146" customFormat="1" ht="12.75" customHeight="1" x14ac:dyDescent="0.2">
      <c r="B82" s="37" t="str">
        <f>Classificação!P18</f>
        <v>West Ham</v>
      </c>
      <c r="C82" s="38">
        <v>0</v>
      </c>
      <c r="D82" s="39" t="s">
        <v>20</v>
      </c>
      <c r="E82" s="38">
        <v>2</v>
      </c>
      <c r="F82" s="37" t="str">
        <f>Classificação!P32</f>
        <v>Celta De Vigo</v>
      </c>
      <c r="I82" s="29" t="str">
        <f>Classificação!P26</f>
        <v>P S V</v>
      </c>
      <c r="J82" s="38">
        <v>1</v>
      </c>
      <c r="K82" s="39" t="s">
        <v>20</v>
      </c>
      <c r="L82" s="38">
        <v>0</v>
      </c>
      <c r="M82" s="29" t="str">
        <f>Classificação!P18</f>
        <v>West Ham</v>
      </c>
      <c r="N82" s="40"/>
    </row>
    <row r="83" spans="2:14" s="146" customFormat="1" ht="12.75" customHeight="1" x14ac:dyDescent="0.2">
      <c r="C83" s="40"/>
      <c r="D83" s="36"/>
      <c r="E83" s="40"/>
      <c r="I83" s="30"/>
      <c r="J83" s="40"/>
      <c r="K83" s="36"/>
      <c r="L83" s="40"/>
      <c r="M83" s="30"/>
      <c r="N83" s="40"/>
    </row>
    <row r="84" spans="2:14" s="146" customFormat="1" ht="12.75" customHeight="1" x14ac:dyDescent="0.2">
      <c r="B84" s="37" t="str">
        <f>Classificação!P19</f>
        <v>Olympique</v>
      </c>
      <c r="C84" s="38">
        <v>1</v>
      </c>
      <c r="D84" s="39" t="s">
        <v>20</v>
      </c>
      <c r="E84" s="38">
        <v>0</v>
      </c>
      <c r="F84" s="37" t="str">
        <f>Classificação!P33</f>
        <v>Everton</v>
      </c>
      <c r="I84" s="29" t="str">
        <f>Classificação!P27</f>
        <v>Crystal Palace</v>
      </c>
      <c r="J84" s="38">
        <v>1</v>
      </c>
      <c r="K84" s="39" t="s">
        <v>20</v>
      </c>
      <c r="L84" s="38">
        <v>0</v>
      </c>
      <c r="M84" s="29" t="str">
        <f>Classificação!P19</f>
        <v>Olympique</v>
      </c>
      <c r="N84" s="40"/>
    </row>
    <row r="85" spans="2:14" s="146" customFormat="1" ht="12.75" customHeight="1" x14ac:dyDescent="0.2">
      <c r="C85" s="40"/>
      <c r="D85" s="36"/>
      <c r="E85" s="40"/>
      <c r="I85" s="126"/>
      <c r="J85" s="40"/>
      <c r="K85" s="36"/>
      <c r="L85" s="40"/>
      <c r="M85" s="126"/>
      <c r="N85" s="40"/>
    </row>
    <row r="86" spans="2:14" s="146" customFormat="1" ht="12.75" customHeight="1" x14ac:dyDescent="0.2">
      <c r="D86" s="36"/>
      <c r="I86" s="36"/>
      <c r="J86" s="36"/>
      <c r="K86" s="36"/>
      <c r="L86" s="36"/>
      <c r="M86" s="36"/>
    </row>
    <row r="87" spans="2:14" s="146" customFormat="1" ht="12.75" customHeight="1" x14ac:dyDescent="0.2">
      <c r="D87" s="36"/>
      <c r="K87" s="36"/>
    </row>
    <row r="88" spans="2:14" s="146" customFormat="1" ht="12.75" customHeight="1" x14ac:dyDescent="0.2">
      <c r="D88" s="36"/>
      <c r="K88" s="36"/>
    </row>
    <row r="89" spans="2:14" s="146" customFormat="1" ht="12.75" customHeight="1" x14ac:dyDescent="0.2">
      <c r="B89" s="33" t="s">
        <v>24</v>
      </c>
      <c r="D89" s="36"/>
      <c r="I89" s="28" t="s">
        <v>59</v>
      </c>
      <c r="K89" s="36"/>
    </row>
    <row r="90" spans="2:14" s="146" customFormat="1" ht="12.75" customHeight="1" x14ac:dyDescent="0.2">
      <c r="D90" s="36"/>
      <c r="K90" s="36"/>
    </row>
    <row r="91" spans="2:14" s="146" customFormat="1" ht="12.75" customHeight="1" x14ac:dyDescent="0.2">
      <c r="D91" s="40"/>
      <c r="I91" s="40"/>
      <c r="K91" s="40"/>
      <c r="M91" s="40"/>
      <c r="N91" s="40"/>
    </row>
    <row r="92" spans="2:14" s="146" customFormat="1" ht="12.75" customHeight="1" x14ac:dyDescent="0.2">
      <c r="B92" s="37" t="str">
        <f>Classificação!P33</f>
        <v>Everton</v>
      </c>
      <c r="C92" s="38">
        <v>0</v>
      </c>
      <c r="D92" s="39" t="s">
        <v>20</v>
      </c>
      <c r="E92" s="38">
        <v>3</v>
      </c>
      <c r="F92" s="37" t="str">
        <f>Classificação!P9</f>
        <v> Atalanta</v>
      </c>
      <c r="I92" s="29" t="str">
        <f>Classificação!P9</f>
        <v> Atalanta</v>
      </c>
      <c r="J92" s="38">
        <v>0</v>
      </c>
      <c r="K92" s="39" t="s">
        <v>20</v>
      </c>
      <c r="L92" s="38">
        <v>2</v>
      </c>
      <c r="M92" s="29" t="str">
        <f>Classificação!P27</f>
        <v>Crystal Palace</v>
      </c>
      <c r="N92" s="40"/>
    </row>
    <row r="93" spans="2:14" s="146" customFormat="1" ht="12.75" customHeight="1" x14ac:dyDescent="0.2">
      <c r="D93" s="36"/>
      <c r="I93" s="30"/>
      <c r="K93" s="36"/>
      <c r="M93" s="30"/>
      <c r="N93" s="40"/>
    </row>
    <row r="94" spans="2:14" s="146" customFormat="1" ht="12.75" customHeight="1" x14ac:dyDescent="0.2">
      <c r="B94" s="37" t="str">
        <f>Classificação!P34</f>
        <v>Torino</v>
      </c>
      <c r="C94" s="38">
        <v>2</v>
      </c>
      <c r="D94" s="39" t="s">
        <v>20</v>
      </c>
      <c r="E94" s="38">
        <v>0</v>
      </c>
      <c r="F94" s="37" t="str">
        <f>Classificação!P10</f>
        <v>Hoffenheim</v>
      </c>
      <c r="I94" s="29" t="str">
        <f>Classificação!P10</f>
        <v>Hoffenheim</v>
      </c>
      <c r="J94" s="38">
        <v>0</v>
      </c>
      <c r="K94" s="39" t="s">
        <v>20</v>
      </c>
      <c r="L94" s="38">
        <v>3</v>
      </c>
      <c r="M94" s="29" t="str">
        <f>Classificação!P28</f>
        <v>Borussia M</v>
      </c>
      <c r="N94" s="40"/>
    </row>
    <row r="95" spans="2:14" s="146" customFormat="1" ht="12.75" customHeight="1" x14ac:dyDescent="0.2">
      <c r="D95" s="36"/>
      <c r="I95" s="30"/>
      <c r="K95" s="36"/>
      <c r="M95" s="30"/>
      <c r="N95" s="40"/>
    </row>
    <row r="96" spans="2:14" s="146" customFormat="1" ht="12.75" customHeight="1" x14ac:dyDescent="0.2">
      <c r="B96" s="37" t="str">
        <f>Classificação!P35</f>
        <v>W.O</v>
      </c>
      <c r="C96" s="38"/>
      <c r="D96" s="39" t="s">
        <v>20</v>
      </c>
      <c r="E96" s="38"/>
      <c r="F96" s="37" t="str">
        <f>Classificação!P11</f>
        <v>Real Sociedad</v>
      </c>
      <c r="I96" s="29" t="str">
        <f>Classificação!P11</f>
        <v>Real Sociedad</v>
      </c>
      <c r="J96" s="38">
        <v>0</v>
      </c>
      <c r="K96" s="39" t="s">
        <v>20</v>
      </c>
      <c r="L96" s="38">
        <v>2</v>
      </c>
      <c r="M96" s="29" t="str">
        <f>Classificação!P29</f>
        <v>Villarreal</v>
      </c>
      <c r="N96" s="40"/>
    </row>
    <row r="97" spans="2:14" s="146" customFormat="1" ht="12.75" customHeight="1" x14ac:dyDescent="0.2">
      <c r="D97" s="36"/>
      <c r="I97" s="30"/>
      <c r="K97" s="36"/>
      <c r="M97" s="30"/>
      <c r="N97" s="40"/>
    </row>
    <row r="98" spans="2:14" s="146" customFormat="1" ht="12.75" customHeight="1" x14ac:dyDescent="0.2">
      <c r="B98" s="37" t="str">
        <f>Classificação!P25</f>
        <v>Sevilla</v>
      </c>
      <c r="C98" s="38">
        <v>2</v>
      </c>
      <c r="D98" s="39" t="s">
        <v>20</v>
      </c>
      <c r="E98" s="38">
        <v>2</v>
      </c>
      <c r="F98" s="37" t="str">
        <f>Classificação!P12</f>
        <v>Sporting</v>
      </c>
      <c r="I98" s="29" t="str">
        <f>Classificação!P12</f>
        <v>Sporting</v>
      </c>
      <c r="J98" s="38">
        <v>3</v>
      </c>
      <c r="K98" s="39" t="s">
        <v>20</v>
      </c>
      <c r="L98" s="38">
        <v>1</v>
      </c>
      <c r="M98" s="29" t="str">
        <f>Classificação!P30</f>
        <v>R B Leipzig</v>
      </c>
      <c r="N98" s="40"/>
    </row>
    <row r="99" spans="2:14" s="146" customFormat="1" ht="12.75" customHeight="1" x14ac:dyDescent="0.2">
      <c r="D99" s="36"/>
      <c r="I99" s="40"/>
      <c r="K99" s="36"/>
      <c r="M99" s="40"/>
      <c r="N99" s="40"/>
    </row>
    <row r="100" spans="2:14" s="146" customFormat="1" ht="12.75" customHeight="1" x14ac:dyDescent="0.2">
      <c r="B100" s="37" t="str">
        <f>Classificação!P26</f>
        <v>P S V</v>
      </c>
      <c r="C100" s="38">
        <v>0</v>
      </c>
      <c r="D100" s="39" t="s">
        <v>20</v>
      </c>
      <c r="E100" s="38">
        <v>1</v>
      </c>
      <c r="F100" s="37" t="str">
        <f>Classificação!P13</f>
        <v>Schalke 04</v>
      </c>
      <c r="I100" s="29" t="str">
        <f>Classificação!P13</f>
        <v>Schalke 04</v>
      </c>
      <c r="J100" s="38">
        <v>2</v>
      </c>
      <c r="K100" s="39" t="s">
        <v>20</v>
      </c>
      <c r="L100" s="38">
        <v>1</v>
      </c>
      <c r="M100" s="29" t="str">
        <f>Classificação!P31</f>
        <v>Real Betis</v>
      </c>
      <c r="N100" s="40"/>
    </row>
    <row r="101" spans="2:14" s="146" customFormat="1" ht="12.75" customHeight="1" x14ac:dyDescent="0.2">
      <c r="D101" s="36"/>
      <c r="I101" s="30"/>
      <c r="K101" s="36"/>
      <c r="M101" s="30"/>
      <c r="N101" s="40"/>
    </row>
    <row r="102" spans="2:14" s="146" customFormat="1" ht="12.75" customHeight="1" x14ac:dyDescent="0.2">
      <c r="B102" s="37" t="str">
        <f>Classificação!P27</f>
        <v>Crystal Palace</v>
      </c>
      <c r="C102" s="38"/>
      <c r="D102" s="39" t="s">
        <v>20</v>
      </c>
      <c r="E102" s="38"/>
      <c r="F102" s="37" t="str">
        <f>Classificação!P14</f>
        <v>Galatasaray</v>
      </c>
      <c r="I102" s="29" t="str">
        <f>Classificação!P14</f>
        <v>Galatasaray</v>
      </c>
      <c r="J102" s="38"/>
      <c r="K102" s="39" t="s">
        <v>20</v>
      </c>
      <c r="L102" s="38"/>
      <c r="M102" s="29" t="str">
        <f>Classificação!P32</f>
        <v>Celta De Vigo</v>
      </c>
      <c r="N102" s="40"/>
    </row>
    <row r="103" spans="2:14" s="146" customFormat="1" ht="12.75" customHeight="1" x14ac:dyDescent="0.2">
      <c r="D103" s="36"/>
      <c r="I103" s="30"/>
      <c r="K103" s="36"/>
      <c r="M103" s="30"/>
      <c r="N103" s="40"/>
    </row>
    <row r="104" spans="2:14" s="146" customFormat="1" ht="12.75" customHeight="1" x14ac:dyDescent="0.2">
      <c r="B104" s="37" t="str">
        <f>Classificação!P28</f>
        <v>Borussia M</v>
      </c>
      <c r="C104" s="38">
        <v>0</v>
      </c>
      <c r="D104" s="39" t="s">
        <v>20</v>
      </c>
      <c r="E104" s="38">
        <v>0</v>
      </c>
      <c r="F104" s="37" t="str">
        <f>Classificação!P15</f>
        <v>Athl. De Bilbao</v>
      </c>
      <c r="I104" s="29" t="str">
        <f>Classificação!P15</f>
        <v>Athl. De Bilbao</v>
      </c>
      <c r="J104" s="38">
        <v>3</v>
      </c>
      <c r="K104" s="39" t="s">
        <v>20</v>
      </c>
      <c r="L104" s="38">
        <v>0</v>
      </c>
      <c r="M104" s="29" t="str">
        <f>Classificação!P33</f>
        <v>Everton</v>
      </c>
      <c r="N104" s="40"/>
    </row>
    <row r="105" spans="2:14" s="146" customFormat="1" ht="12.75" customHeight="1" x14ac:dyDescent="0.2">
      <c r="D105" s="36"/>
      <c r="I105" s="30"/>
      <c r="K105" s="36"/>
      <c r="M105" s="30"/>
      <c r="N105" s="40"/>
    </row>
    <row r="106" spans="2:14" s="146" customFormat="1" ht="12.75" customHeight="1" x14ac:dyDescent="0.2">
      <c r="B106" s="37" t="str">
        <f>Classificação!P29</f>
        <v>Villarreal</v>
      </c>
      <c r="C106" s="38">
        <v>1</v>
      </c>
      <c r="D106" s="39" t="s">
        <v>20</v>
      </c>
      <c r="E106" s="38">
        <v>1</v>
      </c>
      <c r="F106" s="37" t="str">
        <f>Classificação!P16</f>
        <v>Monaco</v>
      </c>
      <c r="I106" s="29" t="str">
        <f>Classificação!P16</f>
        <v>Monaco</v>
      </c>
      <c r="J106" s="38">
        <v>1</v>
      </c>
      <c r="K106" s="39" t="s">
        <v>20</v>
      </c>
      <c r="L106" s="38">
        <v>2</v>
      </c>
      <c r="M106" s="29" t="str">
        <f>Classificação!P34</f>
        <v>Torino</v>
      </c>
      <c r="N106" s="40"/>
    </row>
    <row r="107" spans="2:14" s="146" customFormat="1" ht="12.75" customHeight="1" x14ac:dyDescent="0.2">
      <c r="D107" s="36"/>
      <c r="I107" s="40"/>
      <c r="K107" s="36"/>
      <c r="M107" s="40"/>
      <c r="N107" s="40"/>
    </row>
    <row r="108" spans="2:14" s="146" customFormat="1" ht="12.75" customHeight="1" x14ac:dyDescent="0.2">
      <c r="B108" s="37" t="str">
        <f>Classificação!P30</f>
        <v>R B Leipzig</v>
      </c>
      <c r="C108" s="38">
        <v>0</v>
      </c>
      <c r="D108" s="39" t="s">
        <v>20</v>
      </c>
      <c r="E108" s="38">
        <v>5</v>
      </c>
      <c r="F108" s="37" t="str">
        <f>Classificação!P17</f>
        <v>Beşiktaş</v>
      </c>
      <c r="I108" s="29" t="str">
        <f>Classificação!P17</f>
        <v>Beşiktaş</v>
      </c>
      <c r="J108" s="38"/>
      <c r="K108" s="39" t="s">
        <v>20</v>
      </c>
      <c r="L108" s="38"/>
      <c r="M108" s="29" t="str">
        <f>Classificação!P35</f>
        <v>W.O</v>
      </c>
      <c r="N108" s="40"/>
    </row>
    <row r="109" spans="2:14" s="146" customFormat="1" ht="12.75" customHeight="1" x14ac:dyDescent="0.2">
      <c r="B109" s="36"/>
      <c r="C109" s="40"/>
      <c r="D109" s="40"/>
      <c r="E109" s="40"/>
      <c r="F109" s="36"/>
      <c r="I109" s="30"/>
      <c r="J109" s="40"/>
      <c r="K109" s="40"/>
      <c r="L109" s="40"/>
      <c r="M109" s="30"/>
      <c r="N109" s="40"/>
    </row>
    <row r="110" spans="2:14" s="146" customFormat="1" ht="12.75" customHeight="1" x14ac:dyDescent="0.2">
      <c r="B110" s="37" t="str">
        <f>Classificação!P31</f>
        <v>Real Betis</v>
      </c>
      <c r="C110" s="38">
        <v>1</v>
      </c>
      <c r="D110" s="39" t="s">
        <v>20</v>
      </c>
      <c r="E110" s="38">
        <v>1</v>
      </c>
      <c r="F110" s="37" t="str">
        <f>Classificação!P18</f>
        <v>West Ham</v>
      </c>
      <c r="I110" s="29" t="str">
        <f>Classificação!P18</f>
        <v>West Ham</v>
      </c>
      <c r="J110" s="38">
        <v>2</v>
      </c>
      <c r="K110" s="39" t="s">
        <v>20</v>
      </c>
      <c r="L110" s="38">
        <v>2</v>
      </c>
      <c r="M110" s="29" t="str">
        <f>Classificação!P25</f>
        <v>Sevilla</v>
      </c>
      <c r="N110" s="40"/>
    </row>
    <row r="111" spans="2:14" s="146" customFormat="1" ht="12.75" customHeight="1" x14ac:dyDescent="0.2">
      <c r="C111" s="40"/>
      <c r="D111" s="36"/>
      <c r="E111" s="40"/>
      <c r="I111" s="30"/>
      <c r="J111" s="40"/>
      <c r="K111" s="36"/>
      <c r="L111" s="40"/>
      <c r="M111" s="30"/>
      <c r="N111" s="40"/>
    </row>
    <row r="112" spans="2:14" s="146" customFormat="1" ht="12.75" customHeight="1" x14ac:dyDescent="0.2">
      <c r="B112" s="37" t="str">
        <f>Classificação!P32</f>
        <v>Celta De Vigo</v>
      </c>
      <c r="C112" s="38">
        <v>3</v>
      </c>
      <c r="D112" s="39" t="s">
        <v>20</v>
      </c>
      <c r="E112" s="38">
        <v>0</v>
      </c>
      <c r="F112" s="37" t="str">
        <f>Classificação!P19</f>
        <v>Olympique</v>
      </c>
      <c r="I112" s="29" t="str">
        <f>Classificação!P19</f>
        <v>Olympique</v>
      </c>
      <c r="J112" s="38">
        <v>0</v>
      </c>
      <c r="K112" s="39" t="s">
        <v>20</v>
      </c>
      <c r="L112" s="38">
        <v>2</v>
      </c>
      <c r="M112" s="29" t="str">
        <f>Classificação!P26</f>
        <v>P S V</v>
      </c>
      <c r="N112" s="40"/>
    </row>
    <row r="113" spans="2:14" s="146" customFormat="1" ht="12.75" customHeight="1" x14ac:dyDescent="0.2">
      <c r="C113" s="40"/>
      <c r="D113" s="36"/>
      <c r="E113" s="40"/>
      <c r="I113" s="40"/>
      <c r="J113" s="40"/>
      <c r="K113" s="36"/>
      <c r="L113" s="40"/>
      <c r="M113" s="40"/>
      <c r="N113" s="40"/>
    </row>
    <row r="114" spans="2:14" s="146" customFormat="1" ht="12.75" customHeight="1" x14ac:dyDescent="0.2">
      <c r="D114" s="36"/>
      <c r="K114" s="36"/>
    </row>
    <row r="115" spans="2:14" s="146" customFormat="1" ht="12.75" customHeight="1" x14ac:dyDescent="0.2">
      <c r="D115" s="36"/>
      <c r="K115" s="36"/>
    </row>
    <row r="116" spans="2:14" s="146" customFormat="1" ht="12.75" customHeight="1" x14ac:dyDescent="0.2">
      <c r="D116" s="36"/>
      <c r="K116" s="36"/>
    </row>
    <row r="117" spans="2:14" s="146" customFormat="1" ht="12.75" customHeight="1" x14ac:dyDescent="0.2">
      <c r="B117" s="34" t="s">
        <v>25</v>
      </c>
      <c r="D117" s="36"/>
      <c r="I117" s="77" t="s">
        <v>60</v>
      </c>
      <c r="K117" s="36"/>
    </row>
    <row r="118" spans="2:14" s="146" customFormat="1" ht="12.75" customHeight="1" x14ac:dyDescent="0.2">
      <c r="D118" s="36"/>
      <c r="K118" s="36"/>
    </row>
    <row r="119" spans="2:14" s="146" customFormat="1" ht="12.75" customHeight="1" x14ac:dyDescent="0.2">
      <c r="D119" s="40"/>
      <c r="I119" s="40"/>
      <c r="K119" s="40"/>
      <c r="M119" s="40"/>
      <c r="N119" s="40"/>
    </row>
    <row r="120" spans="2:14" s="146" customFormat="1" ht="12.75" customHeight="1" x14ac:dyDescent="0.2">
      <c r="B120" s="37" t="str">
        <f>Classificação!P9</f>
        <v> Atalanta</v>
      </c>
      <c r="C120" s="38">
        <v>1</v>
      </c>
      <c r="D120" s="39" t="s">
        <v>20</v>
      </c>
      <c r="E120" s="38">
        <v>0</v>
      </c>
      <c r="F120" s="37" t="str">
        <f>Classificação!P32</f>
        <v>Celta De Vigo</v>
      </c>
      <c r="I120" s="29" t="str">
        <f>Classificação!P26</f>
        <v>P S V</v>
      </c>
      <c r="J120" s="38">
        <v>1</v>
      </c>
      <c r="K120" s="39" t="s">
        <v>20</v>
      </c>
      <c r="L120" s="38">
        <v>3</v>
      </c>
      <c r="M120" s="29" t="str">
        <f>Classificação!P9</f>
        <v> Atalanta</v>
      </c>
      <c r="N120" s="40"/>
    </row>
    <row r="121" spans="2:14" s="146" customFormat="1" ht="12.75" customHeight="1" x14ac:dyDescent="0.2">
      <c r="D121" s="36"/>
      <c r="I121" s="30"/>
      <c r="K121" s="36"/>
      <c r="M121" s="30"/>
      <c r="N121" s="40"/>
    </row>
    <row r="122" spans="2:14" s="146" customFormat="1" ht="12.75" customHeight="1" x14ac:dyDescent="0.2">
      <c r="B122" s="37" t="str">
        <f>Classificação!P10</f>
        <v>Hoffenheim</v>
      </c>
      <c r="C122" s="38">
        <v>3</v>
      </c>
      <c r="D122" s="39" t="s">
        <v>20</v>
      </c>
      <c r="E122" s="38">
        <v>1</v>
      </c>
      <c r="F122" s="37" t="str">
        <f>Classificação!P33</f>
        <v>Everton</v>
      </c>
      <c r="I122" s="29" t="str">
        <f>Classificação!P27</f>
        <v>Crystal Palace</v>
      </c>
      <c r="J122" s="38">
        <v>0</v>
      </c>
      <c r="K122" s="39" t="s">
        <v>20</v>
      </c>
      <c r="L122" s="38">
        <v>2</v>
      </c>
      <c r="M122" s="29" t="str">
        <f>Classificação!P10</f>
        <v>Hoffenheim</v>
      </c>
      <c r="N122" s="40"/>
    </row>
    <row r="123" spans="2:14" s="146" customFormat="1" ht="12.75" customHeight="1" x14ac:dyDescent="0.2">
      <c r="D123" s="36"/>
      <c r="I123" s="30"/>
      <c r="K123" s="36"/>
      <c r="M123" s="30"/>
      <c r="N123" s="40"/>
    </row>
    <row r="124" spans="2:14" s="146" customFormat="1" ht="12.75" customHeight="1" x14ac:dyDescent="0.2">
      <c r="B124" s="37" t="str">
        <f>Classificação!P11</f>
        <v>Real Sociedad</v>
      </c>
      <c r="C124" s="38">
        <v>2</v>
      </c>
      <c r="D124" s="39" t="s">
        <v>20</v>
      </c>
      <c r="E124" s="38">
        <v>2</v>
      </c>
      <c r="F124" s="37" t="str">
        <f>Classificação!P34</f>
        <v>Torino</v>
      </c>
      <c r="I124" s="29" t="str">
        <f>Classificação!P28</f>
        <v>Borussia M</v>
      </c>
      <c r="J124" s="38">
        <v>1</v>
      </c>
      <c r="K124" s="39" t="s">
        <v>20</v>
      </c>
      <c r="L124" s="38">
        <v>1</v>
      </c>
      <c r="M124" s="29" t="str">
        <f>Classificação!P11</f>
        <v>Real Sociedad</v>
      </c>
      <c r="N124" s="40"/>
    </row>
    <row r="125" spans="2:14" s="146" customFormat="1" ht="12.75" customHeight="1" x14ac:dyDescent="0.2">
      <c r="D125" s="36"/>
      <c r="I125" s="30"/>
      <c r="K125" s="36"/>
      <c r="M125" s="30"/>
      <c r="N125" s="40"/>
    </row>
    <row r="126" spans="2:14" s="146" customFormat="1" ht="12.75" customHeight="1" x14ac:dyDescent="0.2">
      <c r="B126" s="37" t="str">
        <f>Classificação!P12</f>
        <v>Sporting</v>
      </c>
      <c r="C126" s="38"/>
      <c r="D126" s="39" t="s">
        <v>20</v>
      </c>
      <c r="E126" s="38"/>
      <c r="F126" s="37" t="str">
        <f>Classificação!P35</f>
        <v>W.O</v>
      </c>
      <c r="I126" s="29" t="str">
        <f>Classificação!P29</f>
        <v>Villarreal</v>
      </c>
      <c r="J126" s="38">
        <v>0</v>
      </c>
      <c r="K126" s="39" t="s">
        <v>20</v>
      </c>
      <c r="L126" s="38">
        <v>2</v>
      </c>
      <c r="M126" s="29" t="str">
        <f>Classificação!P12</f>
        <v>Sporting</v>
      </c>
      <c r="N126" s="40"/>
    </row>
    <row r="127" spans="2:14" s="146" customFormat="1" ht="12.75" customHeight="1" x14ac:dyDescent="0.2">
      <c r="D127" s="36"/>
      <c r="I127" s="40"/>
      <c r="K127" s="36"/>
      <c r="M127" s="40"/>
      <c r="N127" s="40"/>
    </row>
    <row r="128" spans="2:14" s="146" customFormat="1" ht="12.75" customHeight="1" x14ac:dyDescent="0.2">
      <c r="B128" s="37" t="str">
        <f>Classificação!P13</f>
        <v>Schalke 04</v>
      </c>
      <c r="C128" s="38">
        <v>2</v>
      </c>
      <c r="D128" s="39" t="s">
        <v>20</v>
      </c>
      <c r="E128" s="38">
        <v>0</v>
      </c>
      <c r="F128" s="37" t="str">
        <f>Classificação!P25</f>
        <v>Sevilla</v>
      </c>
      <c r="I128" s="29" t="str">
        <f>Classificação!P30</f>
        <v>R B Leipzig</v>
      </c>
      <c r="J128" s="38">
        <v>1</v>
      </c>
      <c r="K128" s="39" t="s">
        <v>20</v>
      </c>
      <c r="L128" s="38">
        <v>3</v>
      </c>
      <c r="M128" s="29" t="str">
        <f>Classificação!P13</f>
        <v>Schalke 04</v>
      </c>
      <c r="N128" s="40"/>
    </row>
    <row r="129" spans="2:14" s="146" customFormat="1" ht="12.75" customHeight="1" x14ac:dyDescent="0.2">
      <c r="D129" s="36"/>
      <c r="I129" s="30"/>
      <c r="K129" s="36"/>
      <c r="M129" s="30"/>
      <c r="N129" s="40"/>
    </row>
    <row r="130" spans="2:14" s="146" customFormat="1" ht="12.75" customHeight="1" x14ac:dyDescent="0.2">
      <c r="B130" s="37" t="str">
        <f>Classificação!P14</f>
        <v>Galatasaray</v>
      </c>
      <c r="C130" s="38"/>
      <c r="D130" s="39" t="s">
        <v>20</v>
      </c>
      <c r="E130" s="38"/>
      <c r="F130" s="37" t="str">
        <f>Classificação!P26</f>
        <v>P S V</v>
      </c>
      <c r="I130" s="29" t="str">
        <f>Classificação!P31</f>
        <v>Real Betis</v>
      </c>
      <c r="J130" s="38"/>
      <c r="K130" s="39" t="s">
        <v>20</v>
      </c>
      <c r="L130" s="38"/>
      <c r="M130" s="29" t="str">
        <f>Classificação!P14</f>
        <v>Galatasaray</v>
      </c>
      <c r="N130" s="40"/>
    </row>
    <row r="131" spans="2:14" s="146" customFormat="1" ht="12.75" customHeight="1" x14ac:dyDescent="0.2">
      <c r="D131" s="36"/>
      <c r="I131" s="30"/>
      <c r="K131" s="36"/>
      <c r="M131" s="30"/>
      <c r="N131" s="40"/>
    </row>
    <row r="132" spans="2:14" s="146" customFormat="1" ht="12.75" customHeight="1" x14ac:dyDescent="0.2">
      <c r="B132" s="37" t="str">
        <f>Classificação!P15</f>
        <v>Athl. De Bilbao</v>
      </c>
      <c r="C132" s="38">
        <v>0</v>
      </c>
      <c r="D132" s="39" t="s">
        <v>20</v>
      </c>
      <c r="E132" s="38">
        <v>0</v>
      </c>
      <c r="F132" s="37" t="str">
        <f>Classificação!P27</f>
        <v>Crystal Palace</v>
      </c>
      <c r="I132" s="29" t="str">
        <f>Classificação!P32</f>
        <v>Celta De Vigo</v>
      </c>
      <c r="J132" s="38">
        <v>3</v>
      </c>
      <c r="K132" s="39" t="s">
        <v>20</v>
      </c>
      <c r="L132" s="38">
        <v>0</v>
      </c>
      <c r="M132" s="29" t="str">
        <f>Classificação!P15</f>
        <v>Athl. De Bilbao</v>
      </c>
      <c r="N132" s="40"/>
    </row>
    <row r="133" spans="2:14" s="146" customFormat="1" ht="12.75" customHeight="1" x14ac:dyDescent="0.2">
      <c r="D133" s="36"/>
      <c r="I133" s="30"/>
      <c r="K133" s="36"/>
      <c r="M133" s="30"/>
      <c r="N133" s="40"/>
    </row>
    <row r="134" spans="2:14" s="146" customFormat="1" ht="12.75" customHeight="1" x14ac:dyDescent="0.2">
      <c r="B134" s="37" t="str">
        <f>Classificação!P16</f>
        <v>Monaco</v>
      </c>
      <c r="C134" s="38">
        <v>1</v>
      </c>
      <c r="D134" s="39" t="s">
        <v>20</v>
      </c>
      <c r="E134" s="38">
        <v>1</v>
      </c>
      <c r="F134" s="37" t="str">
        <f>Classificação!P28</f>
        <v>Borussia M</v>
      </c>
      <c r="I134" s="29" t="str">
        <f>Classificação!P33</f>
        <v>Everton</v>
      </c>
      <c r="J134" s="38">
        <v>1</v>
      </c>
      <c r="K134" s="39" t="s">
        <v>20</v>
      </c>
      <c r="L134" s="38">
        <v>0</v>
      </c>
      <c r="M134" s="29" t="str">
        <f>Classificação!P16</f>
        <v>Monaco</v>
      </c>
      <c r="N134" s="40"/>
    </row>
    <row r="135" spans="2:14" s="146" customFormat="1" ht="12.75" customHeight="1" x14ac:dyDescent="0.2">
      <c r="D135" s="36"/>
      <c r="I135" s="40"/>
      <c r="K135" s="36"/>
      <c r="M135" s="40"/>
      <c r="N135" s="40"/>
    </row>
    <row r="136" spans="2:14" s="146" customFormat="1" ht="12.75" customHeight="1" x14ac:dyDescent="0.2">
      <c r="B136" s="37" t="str">
        <f>Classificação!P17</f>
        <v>Beşiktaş</v>
      </c>
      <c r="C136" s="38">
        <v>2</v>
      </c>
      <c r="D136" s="39" t="s">
        <v>20</v>
      </c>
      <c r="E136" s="38">
        <v>0</v>
      </c>
      <c r="F136" s="37" t="str">
        <f>Classificação!P29</f>
        <v>Villarreal</v>
      </c>
      <c r="I136" s="29" t="str">
        <f>Classificação!P34</f>
        <v>Torino</v>
      </c>
      <c r="J136" s="38">
        <v>1</v>
      </c>
      <c r="K136" s="39" t="s">
        <v>20</v>
      </c>
      <c r="L136" s="38">
        <v>4</v>
      </c>
      <c r="M136" s="29" t="str">
        <f>Classificação!P17</f>
        <v>Beşiktaş</v>
      </c>
      <c r="N136" s="40"/>
    </row>
    <row r="137" spans="2:14" s="146" customFormat="1" ht="12.75" customHeight="1" x14ac:dyDescent="0.2">
      <c r="B137" s="36"/>
      <c r="C137" s="40"/>
      <c r="D137" s="40"/>
      <c r="E137" s="40"/>
      <c r="F137" s="40"/>
      <c r="I137" s="30"/>
      <c r="J137" s="40"/>
      <c r="K137" s="40"/>
      <c r="L137" s="40"/>
      <c r="M137" s="30"/>
      <c r="N137" s="40"/>
    </row>
    <row r="138" spans="2:14" s="146" customFormat="1" ht="12.75" customHeight="1" x14ac:dyDescent="0.2">
      <c r="B138" s="37" t="str">
        <f>Classificação!P18</f>
        <v>West Ham</v>
      </c>
      <c r="C138" s="38">
        <v>0</v>
      </c>
      <c r="D138" s="39" t="s">
        <v>20</v>
      </c>
      <c r="E138" s="38">
        <v>0</v>
      </c>
      <c r="F138" s="37" t="str">
        <f>Classificação!P30</f>
        <v>R B Leipzig</v>
      </c>
      <c r="I138" s="29" t="str">
        <f>Classificação!P35</f>
        <v>W.O</v>
      </c>
      <c r="J138" s="38"/>
      <c r="K138" s="39" t="s">
        <v>20</v>
      </c>
      <c r="L138" s="38"/>
      <c r="M138" s="29" t="str">
        <f>Classificação!P18</f>
        <v>West Ham</v>
      </c>
      <c r="N138" s="40"/>
    </row>
    <row r="139" spans="2:14" s="146" customFormat="1" ht="12.75" customHeight="1" x14ac:dyDescent="0.2">
      <c r="C139" s="40"/>
      <c r="D139" s="36"/>
      <c r="E139" s="40"/>
      <c r="I139" s="30"/>
      <c r="J139" s="40"/>
      <c r="K139" s="36"/>
      <c r="L139" s="40"/>
      <c r="M139" s="30"/>
      <c r="N139" s="40"/>
    </row>
    <row r="140" spans="2:14" s="146" customFormat="1" ht="12.75" customHeight="1" x14ac:dyDescent="0.2">
      <c r="B140" s="37" t="str">
        <f>Classificação!P19</f>
        <v>Olympique</v>
      </c>
      <c r="C140" s="38">
        <v>0</v>
      </c>
      <c r="D140" s="39" t="s">
        <v>20</v>
      </c>
      <c r="E140" s="38">
        <v>2</v>
      </c>
      <c r="F140" s="37" t="str">
        <f>Classificação!P31</f>
        <v>Real Betis</v>
      </c>
      <c r="I140" s="29" t="str">
        <f>Classificação!P25</f>
        <v>Sevilla</v>
      </c>
      <c r="J140" s="38">
        <v>1</v>
      </c>
      <c r="K140" s="39" t="s">
        <v>20</v>
      </c>
      <c r="L140" s="38">
        <v>0</v>
      </c>
      <c r="M140" s="29" t="str">
        <f>Classificação!P19</f>
        <v>Olympique</v>
      </c>
      <c r="N140" s="40"/>
    </row>
    <row r="141" spans="2:14" s="146" customFormat="1" ht="12.75" customHeight="1" x14ac:dyDescent="0.2">
      <c r="C141" s="40"/>
      <c r="D141" s="36"/>
      <c r="E141" s="40"/>
      <c r="I141" s="40"/>
      <c r="J141" s="40"/>
      <c r="K141" s="36"/>
      <c r="L141" s="40"/>
      <c r="M141" s="40"/>
      <c r="N141" s="40"/>
    </row>
    <row r="142" spans="2:14" s="146" customFormat="1" ht="12.75" customHeight="1" x14ac:dyDescent="0.2">
      <c r="D142" s="36"/>
      <c r="K142" s="36"/>
    </row>
    <row r="143" spans="2:14" s="146" customFormat="1" ht="12.75" customHeight="1" x14ac:dyDescent="0.2">
      <c r="D143" s="36"/>
      <c r="K143" s="36"/>
    </row>
    <row r="144" spans="2:14" s="146" customFormat="1" ht="12.75" customHeight="1" x14ac:dyDescent="0.2">
      <c r="D144" s="36"/>
      <c r="H144" s="40"/>
      <c r="I144" s="40"/>
      <c r="J144" s="40"/>
      <c r="K144" s="40"/>
      <c r="L144" s="40"/>
      <c r="M144" s="40"/>
      <c r="N144" s="40"/>
    </row>
    <row r="145" spans="2:14" s="146" customFormat="1" ht="12.75" customHeight="1" x14ac:dyDescent="0.2">
      <c r="B145" s="35" t="s">
        <v>26</v>
      </c>
      <c r="D145" s="36"/>
      <c r="H145" s="40"/>
      <c r="I145" s="85"/>
      <c r="J145" s="40"/>
      <c r="K145" s="40"/>
      <c r="L145" s="40"/>
      <c r="M145" s="40"/>
      <c r="N145" s="40"/>
    </row>
    <row r="146" spans="2:14" s="146" customFormat="1" ht="12.75" customHeight="1" x14ac:dyDescent="0.2">
      <c r="D146" s="36"/>
      <c r="H146" s="40"/>
      <c r="I146" s="40"/>
      <c r="J146" s="40"/>
      <c r="K146" s="40"/>
      <c r="L146" s="40"/>
      <c r="M146" s="40"/>
      <c r="N146" s="40"/>
    </row>
    <row r="147" spans="2:14" s="146" customFormat="1" ht="12.75" customHeight="1" x14ac:dyDescent="0.2">
      <c r="D147" s="40"/>
      <c r="H147" s="40"/>
      <c r="I147" s="40"/>
      <c r="J147" s="40"/>
      <c r="K147" s="40"/>
      <c r="L147" s="40"/>
      <c r="M147" s="40"/>
      <c r="N147" s="40"/>
    </row>
    <row r="148" spans="2:14" s="146" customFormat="1" ht="12.75" customHeight="1" x14ac:dyDescent="0.2">
      <c r="B148" s="37" t="str">
        <f>Classificação!P31</f>
        <v>Real Betis</v>
      </c>
      <c r="C148" s="38">
        <v>0</v>
      </c>
      <c r="D148" s="39" t="s">
        <v>20</v>
      </c>
      <c r="E148" s="38">
        <v>1</v>
      </c>
      <c r="F148" s="37" t="str">
        <f>Classificação!P9</f>
        <v> Atalanta</v>
      </c>
      <c r="H148" s="40"/>
      <c r="I148" s="125"/>
      <c r="J148" s="40"/>
      <c r="K148" s="40"/>
      <c r="L148" s="40"/>
      <c r="M148" s="125"/>
      <c r="N148" s="40"/>
    </row>
    <row r="149" spans="2:14" s="146" customFormat="1" ht="12.75" customHeight="1" x14ac:dyDescent="0.2">
      <c r="D149" s="36"/>
      <c r="H149" s="40"/>
      <c r="I149" s="125"/>
      <c r="J149" s="40"/>
      <c r="K149" s="40"/>
      <c r="L149" s="40"/>
      <c r="M149" s="125"/>
      <c r="N149" s="40"/>
    </row>
    <row r="150" spans="2:14" s="146" customFormat="1" ht="12.75" customHeight="1" x14ac:dyDescent="0.2">
      <c r="B150" s="37" t="str">
        <f>Classificação!P32</f>
        <v>Celta De Vigo</v>
      </c>
      <c r="C150" s="38">
        <v>1</v>
      </c>
      <c r="D150" s="39" t="s">
        <v>20</v>
      </c>
      <c r="E150" s="38">
        <v>1</v>
      </c>
      <c r="F150" s="37" t="str">
        <f>Classificação!P10</f>
        <v>Hoffenheim</v>
      </c>
      <c r="H150" s="40"/>
      <c r="I150" s="125"/>
      <c r="J150" s="40"/>
      <c r="K150" s="40"/>
      <c r="L150" s="40"/>
      <c r="M150" s="125"/>
      <c r="N150" s="40"/>
    </row>
    <row r="151" spans="2:14" s="146" customFormat="1" ht="12.75" customHeight="1" x14ac:dyDescent="0.2">
      <c r="D151" s="36"/>
      <c r="H151" s="40"/>
      <c r="I151" s="125"/>
      <c r="J151" s="40"/>
      <c r="K151" s="40"/>
      <c r="L151" s="40"/>
      <c r="M151" s="125"/>
      <c r="N151" s="40"/>
    </row>
    <row r="152" spans="2:14" s="146" customFormat="1" ht="12.75" customHeight="1" x14ac:dyDescent="0.2">
      <c r="B152" s="37" t="str">
        <f>Classificação!P33</f>
        <v>Everton</v>
      </c>
      <c r="C152" s="38">
        <v>0</v>
      </c>
      <c r="D152" s="39" t="s">
        <v>20</v>
      </c>
      <c r="E152" s="38">
        <v>0</v>
      </c>
      <c r="F152" s="37" t="str">
        <f>Classificação!P11</f>
        <v>Real Sociedad</v>
      </c>
      <c r="H152" s="40"/>
      <c r="I152" s="125"/>
      <c r="J152" s="40"/>
      <c r="K152" s="40"/>
      <c r="L152" s="40"/>
      <c r="M152" s="125"/>
      <c r="N152" s="40"/>
    </row>
    <row r="153" spans="2:14" s="146" customFormat="1" ht="12.75" customHeight="1" x14ac:dyDescent="0.2">
      <c r="D153" s="36"/>
      <c r="H153" s="40"/>
      <c r="I153" s="125"/>
      <c r="J153" s="40"/>
      <c r="K153" s="40"/>
      <c r="L153" s="40"/>
      <c r="M153" s="125"/>
      <c r="N153" s="40"/>
    </row>
    <row r="154" spans="2:14" s="146" customFormat="1" ht="12.75" customHeight="1" x14ac:dyDescent="0.2">
      <c r="B154" s="37" t="str">
        <f>Classificação!P34</f>
        <v>Torino</v>
      </c>
      <c r="C154" s="38">
        <v>1</v>
      </c>
      <c r="D154" s="39" t="s">
        <v>20</v>
      </c>
      <c r="E154" s="38">
        <v>2</v>
      </c>
      <c r="F154" s="37" t="str">
        <f>Classificação!P12</f>
        <v>Sporting</v>
      </c>
      <c r="H154" s="40"/>
      <c r="I154" s="125"/>
      <c r="J154" s="40"/>
      <c r="K154" s="40"/>
      <c r="L154" s="40"/>
      <c r="M154" s="125"/>
      <c r="N154" s="40"/>
    </row>
    <row r="155" spans="2:14" s="146" customFormat="1" ht="12.75" customHeight="1" x14ac:dyDescent="0.2">
      <c r="D155" s="36"/>
      <c r="H155" s="40"/>
      <c r="I155" s="40"/>
      <c r="J155" s="40"/>
      <c r="K155" s="40"/>
      <c r="L155" s="40"/>
      <c r="M155" s="40"/>
      <c r="N155" s="40"/>
    </row>
    <row r="156" spans="2:14" s="146" customFormat="1" ht="12.75" customHeight="1" x14ac:dyDescent="0.2">
      <c r="B156" s="37" t="str">
        <f>Classificação!P35</f>
        <v>W.O</v>
      </c>
      <c r="C156" s="38"/>
      <c r="D156" s="39" t="s">
        <v>20</v>
      </c>
      <c r="E156" s="38"/>
      <c r="F156" s="37" t="str">
        <f>Classificação!P13</f>
        <v>Schalke 04</v>
      </c>
      <c r="H156" s="40"/>
      <c r="I156" s="125"/>
      <c r="J156" s="40"/>
      <c r="K156" s="40"/>
      <c r="L156" s="40"/>
      <c r="M156" s="125"/>
      <c r="N156" s="40"/>
    </row>
    <row r="157" spans="2:14" s="146" customFormat="1" ht="12.75" customHeight="1" x14ac:dyDescent="0.2">
      <c r="D157" s="36"/>
      <c r="H157" s="40"/>
      <c r="I157" s="125"/>
      <c r="J157" s="40"/>
      <c r="K157" s="40"/>
      <c r="L157" s="40"/>
      <c r="M157" s="125"/>
      <c r="N157" s="40"/>
    </row>
    <row r="158" spans="2:14" s="146" customFormat="1" ht="12.75" customHeight="1" x14ac:dyDescent="0.2">
      <c r="B158" s="37" t="str">
        <f>Classificação!P25</f>
        <v>Sevilla</v>
      </c>
      <c r="C158" s="38"/>
      <c r="D158" s="39" t="s">
        <v>20</v>
      </c>
      <c r="E158" s="38"/>
      <c r="F158" s="37" t="str">
        <f>Classificação!P14</f>
        <v>Galatasaray</v>
      </c>
      <c r="H158" s="40"/>
      <c r="I158" s="125"/>
      <c r="J158" s="40"/>
      <c r="K158" s="40"/>
      <c r="L158" s="40"/>
      <c r="M158" s="125"/>
      <c r="N158" s="40"/>
    </row>
    <row r="159" spans="2:14" s="146" customFormat="1" ht="12.75" customHeight="1" x14ac:dyDescent="0.2">
      <c r="D159" s="36"/>
      <c r="H159" s="40"/>
      <c r="I159" s="125"/>
      <c r="J159" s="40"/>
      <c r="K159" s="40"/>
      <c r="L159" s="40"/>
      <c r="M159" s="125"/>
      <c r="N159" s="40"/>
    </row>
    <row r="160" spans="2:14" s="146" customFormat="1" ht="12.75" customHeight="1" x14ac:dyDescent="0.2">
      <c r="B160" s="37" t="str">
        <f>Classificação!P26</f>
        <v>P S V</v>
      </c>
      <c r="C160" s="38">
        <v>2</v>
      </c>
      <c r="D160" s="39" t="s">
        <v>20</v>
      </c>
      <c r="E160" s="38">
        <v>1</v>
      </c>
      <c r="F160" s="37" t="str">
        <f>Classificação!P15</f>
        <v>Athl. De Bilbao</v>
      </c>
      <c r="H160" s="40"/>
      <c r="I160" s="125"/>
      <c r="J160" s="40"/>
      <c r="K160" s="40"/>
      <c r="L160" s="40"/>
      <c r="M160" s="125"/>
      <c r="N160" s="40"/>
    </row>
    <row r="161" spans="2:14" s="146" customFormat="1" ht="12.75" customHeight="1" x14ac:dyDescent="0.2">
      <c r="D161" s="36"/>
      <c r="H161" s="40"/>
      <c r="I161" s="125"/>
      <c r="J161" s="40"/>
      <c r="K161" s="40"/>
      <c r="L161" s="40"/>
      <c r="M161" s="125"/>
      <c r="N161" s="40"/>
    </row>
    <row r="162" spans="2:14" s="146" customFormat="1" ht="12.75" customHeight="1" x14ac:dyDescent="0.2">
      <c r="B162" s="37" t="str">
        <f>Classificação!P27</f>
        <v>Crystal Palace</v>
      </c>
      <c r="C162" s="38">
        <v>1</v>
      </c>
      <c r="D162" s="39" t="s">
        <v>20</v>
      </c>
      <c r="E162" s="38">
        <v>0</v>
      </c>
      <c r="F162" s="37" t="str">
        <f>Classificação!P16</f>
        <v>Monaco</v>
      </c>
      <c r="H162" s="40"/>
      <c r="I162" s="125"/>
      <c r="J162" s="40"/>
      <c r="K162" s="40"/>
      <c r="L162" s="40"/>
      <c r="M162" s="125"/>
      <c r="N162" s="40"/>
    </row>
    <row r="163" spans="2:14" s="146" customFormat="1" ht="12.75" customHeight="1" x14ac:dyDescent="0.2">
      <c r="D163" s="36"/>
      <c r="H163" s="40"/>
      <c r="I163" s="40"/>
      <c r="J163" s="40"/>
      <c r="K163" s="40"/>
      <c r="L163" s="40"/>
      <c r="M163" s="40"/>
      <c r="N163" s="40"/>
    </row>
    <row r="164" spans="2:14" s="146" customFormat="1" ht="12.75" customHeight="1" x14ac:dyDescent="0.2">
      <c r="B164" s="37" t="str">
        <f>Classificação!P28</f>
        <v>Borussia M</v>
      </c>
      <c r="C164" s="38">
        <v>0</v>
      </c>
      <c r="D164" s="39" t="s">
        <v>20</v>
      </c>
      <c r="E164" s="38">
        <v>1</v>
      </c>
      <c r="F164" s="37" t="str">
        <f>Classificação!P17</f>
        <v>Beşiktaş</v>
      </c>
      <c r="H164" s="40"/>
      <c r="I164" s="125"/>
      <c r="J164" s="40"/>
      <c r="K164" s="40"/>
      <c r="L164" s="40"/>
      <c r="M164" s="125"/>
      <c r="N164" s="40"/>
    </row>
    <row r="165" spans="2:14" s="146" customFormat="1" ht="12.75" customHeight="1" x14ac:dyDescent="0.2">
      <c r="B165" s="36"/>
      <c r="C165" s="40"/>
      <c r="D165" s="40"/>
      <c r="E165" s="40"/>
      <c r="F165" s="36"/>
      <c r="H165" s="40"/>
      <c r="I165" s="125"/>
      <c r="J165" s="40"/>
      <c r="K165" s="40"/>
      <c r="L165" s="40"/>
      <c r="M165" s="125"/>
      <c r="N165" s="40"/>
    </row>
    <row r="166" spans="2:14" s="146" customFormat="1" ht="12.75" customHeight="1" x14ac:dyDescent="0.2">
      <c r="B166" s="37" t="str">
        <f>Classificação!P29</f>
        <v>Villarreal</v>
      </c>
      <c r="C166" s="38">
        <v>1</v>
      </c>
      <c r="D166" s="39" t="s">
        <v>20</v>
      </c>
      <c r="E166" s="38">
        <v>1</v>
      </c>
      <c r="F166" s="37" t="str">
        <f>Classificação!P18</f>
        <v>West Ham</v>
      </c>
      <c r="H166" s="40"/>
      <c r="I166" s="125"/>
      <c r="J166" s="40"/>
      <c r="K166" s="40"/>
      <c r="L166" s="40"/>
      <c r="M166" s="125"/>
      <c r="N166" s="40"/>
    </row>
    <row r="167" spans="2:14" s="146" customFormat="1" ht="12.75" customHeight="1" x14ac:dyDescent="0.2">
      <c r="C167" s="40"/>
      <c r="D167" s="36"/>
      <c r="E167" s="40"/>
      <c r="H167" s="40"/>
      <c r="I167" s="125"/>
      <c r="J167" s="40"/>
      <c r="K167" s="40"/>
      <c r="L167" s="40"/>
      <c r="M167" s="125"/>
      <c r="N167" s="40"/>
    </row>
    <row r="168" spans="2:14" s="146" customFormat="1" ht="12.75" customHeight="1" x14ac:dyDescent="0.2">
      <c r="B168" s="37" t="str">
        <f>Classificação!P30</f>
        <v>R B Leipzig</v>
      </c>
      <c r="C168" s="38">
        <v>1</v>
      </c>
      <c r="D168" s="39" t="s">
        <v>20</v>
      </c>
      <c r="E168" s="38">
        <v>0</v>
      </c>
      <c r="F168" s="37" t="str">
        <f>Classificação!P19</f>
        <v>Olympique</v>
      </c>
      <c r="H168" s="40"/>
      <c r="I168" s="125"/>
      <c r="J168" s="40"/>
      <c r="K168" s="40"/>
      <c r="L168" s="40"/>
      <c r="M168" s="125"/>
      <c r="N168" s="40"/>
    </row>
    <row r="169" spans="2:14" s="146" customFormat="1" ht="12.75" customHeight="1" x14ac:dyDescent="0.2">
      <c r="C169" s="40"/>
      <c r="D169" s="36"/>
      <c r="E169" s="40"/>
      <c r="H169" s="40"/>
      <c r="I169" s="40"/>
      <c r="J169" s="40"/>
      <c r="K169" s="40"/>
      <c r="L169" s="40"/>
      <c r="M169" s="40"/>
      <c r="N169" s="40"/>
    </row>
    <row r="170" spans="2:14" s="146" customFormat="1" ht="12.75" customHeight="1" x14ac:dyDescent="0.2">
      <c r="D170" s="36"/>
      <c r="H170" s="40"/>
      <c r="I170" s="40"/>
      <c r="J170" s="40"/>
      <c r="K170" s="40"/>
      <c r="L170" s="40"/>
      <c r="M170" s="40"/>
      <c r="N170" s="40"/>
    </row>
    <row r="171" spans="2:14" s="146" customFormat="1" ht="12.75" hidden="1" customHeight="1" x14ac:dyDescent="0.2">
      <c r="D171" s="36"/>
    </row>
    <row r="172" spans="2:14" s="146" customFormat="1" ht="12.75" hidden="1" customHeight="1" x14ac:dyDescent="0.2">
      <c r="D172" s="36"/>
    </row>
    <row r="177" spans="1:46" s="80" customFormat="1" ht="15.75" x14ac:dyDescent="0.25">
      <c r="B177" s="147"/>
      <c r="C177" s="81"/>
      <c r="D177" s="81"/>
      <c r="E177" s="81"/>
      <c r="F177" s="81"/>
      <c r="G177" s="165" t="s">
        <v>61</v>
      </c>
      <c r="H177" s="165"/>
      <c r="I177" s="147"/>
      <c r="J177" s="147"/>
      <c r="K177" s="81"/>
      <c r="L177" s="147"/>
      <c r="M177" s="147"/>
      <c r="R177" s="82"/>
      <c r="S177" s="82"/>
      <c r="T177" s="82"/>
      <c r="AA177" s="83"/>
      <c r="AB177" s="83"/>
      <c r="AC177" s="83"/>
      <c r="AD177" s="83"/>
      <c r="AE177" s="83"/>
      <c r="AF177" s="83"/>
    </row>
    <row r="178" spans="1:46" s="80" customFormat="1" x14ac:dyDescent="0.2">
      <c r="A178" s="2"/>
      <c r="B178" s="1"/>
      <c r="C178" s="2"/>
      <c r="D178" s="2"/>
      <c r="E178" s="2"/>
      <c r="F178" s="2"/>
      <c r="G178" s="2"/>
      <c r="H178" s="2"/>
      <c r="I178" s="1"/>
      <c r="J178" s="1"/>
      <c r="K178" s="2"/>
      <c r="L178" s="1"/>
      <c r="M178" s="1"/>
      <c r="N178" s="2"/>
      <c r="R178" s="82"/>
      <c r="S178" s="82"/>
      <c r="T178" s="82"/>
      <c r="AA178" s="84" t="s">
        <v>31</v>
      </c>
      <c r="AB178" s="83"/>
      <c r="AC178" s="83"/>
      <c r="AD178" s="83"/>
      <c r="AE178" s="83"/>
      <c r="AF178" s="83"/>
    </row>
    <row r="179" spans="1:46" s="80" customFormat="1" x14ac:dyDescent="0.2">
      <c r="A179" s="2"/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R179" s="86"/>
      <c r="S179" s="86"/>
      <c r="T179" s="86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  <c r="AE179" s="83"/>
      <c r="AF179" s="83"/>
      <c r="AG179" s="83"/>
      <c r="AH179" s="83"/>
      <c r="AI179" s="83"/>
      <c r="AJ179" s="83"/>
      <c r="AK179" s="83"/>
      <c r="AL179" s="83"/>
    </row>
    <row r="180" spans="1:46" s="80" customFormat="1" x14ac:dyDescent="0.2">
      <c r="A180" s="2"/>
      <c r="B180" s="128" t="s">
        <v>130</v>
      </c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R180" s="148" t="s">
        <v>0</v>
      </c>
      <c r="S180" s="148" t="s">
        <v>62</v>
      </c>
      <c r="T180" s="148" t="s">
        <v>9</v>
      </c>
      <c r="U180" s="84" t="s">
        <v>19</v>
      </c>
      <c r="V180" s="84"/>
      <c r="W180" s="84" t="s">
        <v>0</v>
      </c>
      <c r="X180" s="84"/>
      <c r="Y180" s="84"/>
      <c r="Z180" s="84"/>
      <c r="AA180" s="84"/>
      <c r="AB180" s="84"/>
      <c r="AC180" s="84"/>
      <c r="AD180" s="84"/>
      <c r="AE180" s="84"/>
      <c r="AF180" s="84"/>
      <c r="AG180" s="83"/>
      <c r="AH180" s="83"/>
      <c r="AI180" s="83"/>
      <c r="AJ180" s="83"/>
      <c r="AK180" s="83"/>
      <c r="AL180" s="83"/>
    </row>
    <row r="181" spans="1:46" s="80" customFormat="1" ht="12.75" customHeight="1" x14ac:dyDescent="0.2">
      <c r="A181" s="2"/>
      <c r="B181" s="87" t="str">
        <f>IF(B180="ok",(VLOOKUP(AB181,$R$181:$S$192,2)),"1º Colocado A")</f>
        <v>Sporting</v>
      </c>
      <c r="C181" s="88">
        <v>5</v>
      </c>
      <c r="D181" s="89" t="s">
        <v>20</v>
      </c>
      <c r="E181" s="90">
        <v>0</v>
      </c>
      <c r="F181" s="87" t="str">
        <f>IF(B180="ok",(VLOOKUP(AB188,$R$181:$S$192,2)),"8º Colocado A")</f>
        <v>Olympique</v>
      </c>
      <c r="G181" s="85"/>
      <c r="H181" s="85"/>
      <c r="I181" s="31" t="str">
        <f>IF(B180="ok",(VLOOKUP(AB196,$R$196:$S$207,2)),"1º Colocado B")</f>
        <v>Celta De Vigo</v>
      </c>
      <c r="J181" s="88">
        <v>3</v>
      </c>
      <c r="K181" s="89" t="s">
        <v>20</v>
      </c>
      <c r="L181" s="90">
        <v>0</v>
      </c>
      <c r="M181" s="87" t="str">
        <f>IF(B180="ok",(VLOOKUP(AB203,$R$196:$S$207,2)),"8º Colocado B")</f>
        <v>Borussia M</v>
      </c>
      <c r="N181" s="85"/>
      <c r="Q181" s="157" t="s">
        <v>74</v>
      </c>
      <c r="R181" s="116">
        <v>1</v>
      </c>
      <c r="S181" s="109" t="str">
        <f>Classificação!P9</f>
        <v> Atalanta</v>
      </c>
      <c r="T181" s="109">
        <f>Classificação!AA9</f>
        <v>200657171012</v>
      </c>
      <c r="U181" s="110">
        <f>Classificação!Y9</f>
        <v>1</v>
      </c>
      <c r="V181" s="110"/>
      <c r="W181" s="109">
        <v>1</v>
      </c>
      <c r="X181" s="111">
        <f>LARGE($T$181:$T$192,W181)</f>
        <v>210659181009</v>
      </c>
      <c r="Y181" s="84"/>
      <c r="Z181" s="84"/>
      <c r="AA181" s="148">
        <v>1</v>
      </c>
      <c r="AB181" s="84">
        <f>MATCH(X181,$T$181:$T$192,0)</f>
        <v>4</v>
      </c>
      <c r="AC181" s="84"/>
      <c r="AD181" s="84"/>
      <c r="AE181" s="84"/>
      <c r="AF181" s="84"/>
      <c r="AG181" s="83"/>
      <c r="AH181" s="83"/>
      <c r="AI181" s="83"/>
      <c r="AJ181" s="83"/>
      <c r="AK181" s="83"/>
      <c r="AL181" s="83"/>
    </row>
    <row r="182" spans="1:46" s="80" customFormat="1" ht="15.75" customHeight="1" x14ac:dyDescent="0.2">
      <c r="A182" s="2"/>
      <c r="B182" s="128">
        <f>VLOOKUP(AB181,$R$181:$V$192,4)</f>
        <v>4</v>
      </c>
      <c r="C182" s="128"/>
      <c r="D182" s="128"/>
      <c r="E182" s="128"/>
      <c r="F182" s="128">
        <f>VLOOKUP(AB188,$R$181:$U$192,4)</f>
        <v>11</v>
      </c>
      <c r="G182" s="128"/>
      <c r="H182" s="128"/>
      <c r="I182" s="128">
        <f>VLOOKUP(AB196,$R$196:$U$207,4)</f>
        <v>19</v>
      </c>
      <c r="J182" s="128"/>
      <c r="K182" s="128"/>
      <c r="L182" s="128"/>
      <c r="M182" s="128">
        <f>VLOOKUP(AB203,$R$196:$U$207,4)</f>
        <v>15</v>
      </c>
      <c r="N182" s="85"/>
      <c r="Q182" s="158"/>
      <c r="R182" s="117">
        <v>2</v>
      </c>
      <c r="S182" s="148" t="str">
        <f>Classificação!P10</f>
        <v>Hoffenheim</v>
      </c>
      <c r="T182" s="148">
        <f>Classificação!AA10</f>
        <v>110346101011</v>
      </c>
      <c r="U182" s="84">
        <f>Classificação!Y10</f>
        <v>2</v>
      </c>
      <c r="V182" s="84"/>
      <c r="W182" s="148">
        <v>2</v>
      </c>
      <c r="X182" s="112">
        <f t="shared" ref="X182:X191" si="0">LARGE($T$181:$T$192,W182)</f>
        <v>200662201004</v>
      </c>
      <c r="Y182" s="84"/>
      <c r="Z182" s="84"/>
      <c r="AA182" s="148">
        <v>2</v>
      </c>
      <c r="AB182" s="84">
        <f t="shared" ref="AB182:AB191" si="1">MATCH(X182,$T$181:$T$192,0)</f>
        <v>9</v>
      </c>
      <c r="AC182" s="84"/>
      <c r="AD182" s="84"/>
      <c r="AE182" s="84"/>
      <c r="AF182" s="84"/>
      <c r="AG182" s="84"/>
      <c r="AH182" s="84"/>
      <c r="AI182" s="84"/>
      <c r="AJ182" s="84"/>
      <c r="AK182" s="84"/>
      <c r="AL182" s="84"/>
      <c r="AM182" s="2"/>
      <c r="AN182" s="2"/>
      <c r="AO182" s="2"/>
      <c r="AP182" s="2"/>
      <c r="AQ182" s="2"/>
      <c r="AR182" s="2"/>
      <c r="AS182" s="2"/>
      <c r="AT182" s="2"/>
    </row>
    <row r="183" spans="1:46" s="80" customFormat="1" x14ac:dyDescent="0.2">
      <c r="A183" s="2"/>
      <c r="B183" s="128">
        <f>VLOOKUP(AB181,$R$181:$V$192,3)</f>
        <v>210659181009</v>
      </c>
      <c r="C183" s="128"/>
      <c r="D183" s="128"/>
      <c r="E183" s="128"/>
      <c r="F183" s="128">
        <f>VLOOKUP(AB188,$R$181:$U$192,3)</f>
        <v>70241031002</v>
      </c>
      <c r="G183" s="128"/>
      <c r="H183" s="128"/>
      <c r="I183" s="128">
        <f>VLOOKUP(AB196,$R$196:$U$207,3)</f>
        <v>250865191005</v>
      </c>
      <c r="J183" s="128"/>
      <c r="K183" s="128"/>
      <c r="L183" s="128"/>
      <c r="M183" s="128">
        <f>VLOOKUP(AB203,$R$196:$U$207,3)</f>
        <v>110248081009</v>
      </c>
      <c r="N183" s="85"/>
      <c r="Q183" s="158"/>
      <c r="R183" s="117">
        <v>3</v>
      </c>
      <c r="S183" s="148" t="str">
        <f>Classificação!P11</f>
        <v>Real Sociedad</v>
      </c>
      <c r="T183" s="148">
        <f>Classificação!AA11</f>
        <v>90242071010</v>
      </c>
      <c r="U183" s="84">
        <f>Classificação!Y11</f>
        <v>3</v>
      </c>
      <c r="V183" s="84"/>
      <c r="W183" s="148">
        <v>3</v>
      </c>
      <c r="X183" s="112">
        <f t="shared" si="0"/>
        <v>200657171012</v>
      </c>
      <c r="Y183" s="84"/>
      <c r="Z183" s="84"/>
      <c r="AA183" s="148">
        <v>3</v>
      </c>
      <c r="AB183" s="84">
        <f t="shared" si="1"/>
        <v>1</v>
      </c>
      <c r="AC183" s="84"/>
      <c r="AD183" s="84"/>
      <c r="AE183" s="84"/>
      <c r="AF183" s="84"/>
      <c r="AG183" s="84"/>
      <c r="AH183" s="84"/>
      <c r="AI183" s="84"/>
      <c r="AJ183" s="84"/>
      <c r="AK183" s="84"/>
      <c r="AL183" s="84"/>
      <c r="AM183" s="2"/>
      <c r="AN183" s="2"/>
      <c r="AO183" s="2"/>
      <c r="AP183" s="2"/>
      <c r="AQ183" s="2"/>
      <c r="AR183" s="2"/>
      <c r="AS183" s="2"/>
      <c r="AT183" s="2"/>
    </row>
    <row r="184" spans="1:46" s="80" customFormat="1" x14ac:dyDescent="0.2">
      <c r="A184" s="2"/>
      <c r="B184" s="31" t="str">
        <f>IF(B180="ok",(VLOOKUP(AB182,$R$181:$S$192,2)),"2º Colocado A")</f>
        <v>Beşiktaş</v>
      </c>
      <c r="C184" s="88">
        <v>3</v>
      </c>
      <c r="D184" s="89" t="s">
        <v>20</v>
      </c>
      <c r="E184" s="90">
        <v>0</v>
      </c>
      <c r="F184" s="87" t="str">
        <f>IF(B180="ok",(VLOOKUP(AB187,$R$181:$S$192,2)),"7º Colocado A")</f>
        <v>West Ham</v>
      </c>
      <c r="G184" s="85"/>
      <c r="H184" s="85"/>
      <c r="I184" s="31" t="str">
        <f>IF(B180="ok",(VLOOKUP(AB197,$R$196:$S$207,2)),"2º Colocado B")</f>
        <v>P S V</v>
      </c>
      <c r="J184" s="88">
        <v>1</v>
      </c>
      <c r="K184" s="89" t="s">
        <v>20</v>
      </c>
      <c r="L184" s="90">
        <v>1</v>
      </c>
      <c r="M184" s="87" t="str">
        <f>IF(B180="ok",(VLOOKUP(AB202,$R$196:$S$207,2)),"7º Colocado B")</f>
        <v>Sevilla</v>
      </c>
      <c r="N184" s="85"/>
      <c r="Q184" s="158"/>
      <c r="R184" s="117">
        <v>4</v>
      </c>
      <c r="S184" s="148" t="str">
        <f>Classificação!P12</f>
        <v>Sporting</v>
      </c>
      <c r="T184" s="148">
        <f>Classificação!AA12</f>
        <v>210659181009</v>
      </c>
      <c r="U184" s="84">
        <f>Classificação!Y12</f>
        <v>4</v>
      </c>
      <c r="V184" s="84"/>
      <c r="W184" s="148">
        <v>4</v>
      </c>
      <c r="X184" s="112">
        <f t="shared" si="0"/>
        <v>170556131008</v>
      </c>
      <c r="Y184" s="84"/>
      <c r="Z184" s="84"/>
      <c r="AA184" s="148">
        <v>4</v>
      </c>
      <c r="AB184" s="84">
        <f t="shared" si="1"/>
        <v>5</v>
      </c>
      <c r="AC184" s="84"/>
      <c r="AD184" s="84"/>
      <c r="AE184" s="84"/>
      <c r="AF184" s="84"/>
      <c r="AG184" s="84"/>
      <c r="AH184" s="84"/>
      <c r="AI184" s="84"/>
      <c r="AJ184" s="84"/>
      <c r="AK184" s="84"/>
      <c r="AL184" s="84"/>
      <c r="AM184" s="2"/>
      <c r="AN184" s="2"/>
      <c r="AO184" s="2"/>
      <c r="AP184" s="2"/>
      <c r="AQ184" s="2"/>
      <c r="AR184" s="2"/>
      <c r="AS184" s="2"/>
      <c r="AT184" s="2"/>
    </row>
    <row r="185" spans="1:46" s="80" customFormat="1" x14ac:dyDescent="0.2">
      <c r="A185" s="2"/>
      <c r="B185" s="128">
        <f>VLOOKUP(AB182,$R$181:$U$192,4)</f>
        <v>9</v>
      </c>
      <c r="C185" s="128"/>
      <c r="D185" s="128"/>
      <c r="E185" s="128"/>
      <c r="F185" s="128">
        <f>VLOOKUP(AB187,$R$181:$U$202,4)</f>
        <v>10</v>
      </c>
      <c r="G185" s="128"/>
      <c r="H185" s="128"/>
      <c r="I185" s="128">
        <f>VLOOKUP(AB197,$R$196:$U$207,4)</f>
        <v>13</v>
      </c>
      <c r="J185" s="141">
        <v>2</v>
      </c>
      <c r="K185" s="128"/>
      <c r="L185" s="141">
        <v>1</v>
      </c>
      <c r="M185" s="128">
        <f>VLOOKUP(AB202,$R$196:$U$207,4)</f>
        <v>12</v>
      </c>
      <c r="N185" s="85"/>
      <c r="Q185" s="158"/>
      <c r="R185" s="117">
        <v>5</v>
      </c>
      <c r="S185" s="148" t="str">
        <f>Classificação!P13</f>
        <v>Schalke 04</v>
      </c>
      <c r="T185" s="148">
        <f>Classificação!AA13</f>
        <v>170556131008</v>
      </c>
      <c r="U185" s="84">
        <f>Classificação!Y13</f>
        <v>5</v>
      </c>
      <c r="V185" s="84"/>
      <c r="W185" s="148">
        <v>5</v>
      </c>
      <c r="X185" s="112">
        <f t="shared" si="0"/>
        <v>110346101011</v>
      </c>
      <c r="Y185" s="84"/>
      <c r="Z185" s="84"/>
      <c r="AA185" s="148">
        <v>5</v>
      </c>
      <c r="AB185" s="84">
        <f t="shared" si="1"/>
        <v>2</v>
      </c>
      <c r="AC185" s="84"/>
      <c r="AD185" s="84"/>
      <c r="AE185" s="84"/>
      <c r="AF185" s="84"/>
      <c r="AG185" s="84"/>
      <c r="AH185" s="84"/>
      <c r="AI185" s="84"/>
      <c r="AJ185" s="84"/>
      <c r="AK185" s="84"/>
      <c r="AL185" s="84"/>
      <c r="AM185" s="2"/>
      <c r="AN185" s="2"/>
      <c r="AO185" s="2"/>
      <c r="AP185" s="2"/>
      <c r="AQ185" s="2"/>
      <c r="AR185" s="2"/>
      <c r="AS185" s="2"/>
      <c r="AT185" s="2"/>
    </row>
    <row r="186" spans="1:46" s="80" customFormat="1" x14ac:dyDescent="0.2">
      <c r="A186" s="2"/>
      <c r="B186" s="128">
        <f>VLOOKUP(AB182,$R$181:$U$192,3)</f>
        <v>200662201004</v>
      </c>
      <c r="C186" s="128"/>
      <c r="D186" s="128"/>
      <c r="E186" s="128"/>
      <c r="F186" s="128">
        <f>VLOOKUP(AB187,$R$181:$U$192,3)</f>
        <v>80147101003</v>
      </c>
      <c r="G186" s="128"/>
      <c r="H186" s="128"/>
      <c r="I186" s="128">
        <f>VLOOKUP(AB197,$R$196:$U$207,3)</f>
        <v>190653121011</v>
      </c>
      <c r="J186" s="128"/>
      <c r="K186" s="128"/>
      <c r="L186" s="128"/>
      <c r="M186" s="128">
        <f>VLOOKUP(AB202,$R$196:$U$207,3)</f>
        <v>110347131012</v>
      </c>
      <c r="N186" s="85"/>
      <c r="Q186" s="158"/>
      <c r="R186" s="117">
        <v>6</v>
      </c>
      <c r="S186" s="148" t="str">
        <f>Classificação!P14</f>
        <v>Galatasaray</v>
      </c>
      <c r="T186" s="148">
        <f>Classificação!AA14</f>
        <v>50000007</v>
      </c>
      <c r="U186" s="84">
        <f>Classificação!Y14</f>
        <v>6</v>
      </c>
      <c r="V186" s="84"/>
      <c r="W186" s="148">
        <v>6</v>
      </c>
      <c r="X186" s="112">
        <f t="shared" si="0"/>
        <v>90242071010</v>
      </c>
      <c r="Y186" s="84"/>
      <c r="Z186" s="84"/>
      <c r="AA186" s="148">
        <v>6</v>
      </c>
      <c r="AB186" s="84">
        <f t="shared" si="1"/>
        <v>3</v>
      </c>
      <c r="AC186" s="84"/>
      <c r="AD186" s="84"/>
      <c r="AE186" s="84"/>
      <c r="AF186" s="84"/>
      <c r="AG186" s="84"/>
      <c r="AH186" s="84"/>
      <c r="AI186" s="84"/>
      <c r="AJ186" s="84"/>
      <c r="AK186" s="84"/>
      <c r="AL186" s="84"/>
      <c r="AM186" s="2"/>
      <c r="AN186" s="2"/>
      <c r="AO186" s="2"/>
      <c r="AP186" s="2"/>
      <c r="AQ186" s="2"/>
      <c r="AR186" s="2"/>
      <c r="AS186" s="2"/>
      <c r="AT186" s="2"/>
    </row>
    <row r="187" spans="1:46" s="80" customFormat="1" x14ac:dyDescent="0.2">
      <c r="A187" s="2"/>
      <c r="B187" s="31" t="str">
        <f>IF(B180="ok",(VLOOKUP(AB183,$R$181:$S$192,2)),"3º Colocado A")</f>
        <v> Atalanta</v>
      </c>
      <c r="C187" s="88">
        <v>2</v>
      </c>
      <c r="D187" s="89" t="s">
        <v>20</v>
      </c>
      <c r="E187" s="90">
        <v>1</v>
      </c>
      <c r="F187" s="87" t="str">
        <f>IF(B180="ok",(VLOOKUP(AB186,$R$181:$S$192,2)),"6º Colocado A")</f>
        <v>Real Sociedad</v>
      </c>
      <c r="G187" s="85"/>
      <c r="H187" s="85"/>
      <c r="I187" s="87" t="str">
        <f>IF(B180="ok",(VLOOKUP(AB198,$R$196:$S$207,2)),"3º Colocado B")</f>
        <v>Crystal Palace</v>
      </c>
      <c r="J187" s="88">
        <v>0</v>
      </c>
      <c r="K187" s="89" t="s">
        <v>20</v>
      </c>
      <c r="L187" s="90">
        <v>2</v>
      </c>
      <c r="M187" s="31" t="str">
        <f>IF(B180="ok",(VLOOKUP(AB201,$R$196:$S$207,2)),"6º Colocado B")</f>
        <v>R B Leipzig</v>
      </c>
      <c r="N187" s="85"/>
      <c r="Q187" s="158"/>
      <c r="R187" s="117">
        <v>7</v>
      </c>
      <c r="S187" s="148" t="str">
        <f>Classificação!P15</f>
        <v>Athl. De Bilbao</v>
      </c>
      <c r="T187" s="148">
        <f>Classificação!AA15</f>
        <v>70144081006</v>
      </c>
      <c r="U187" s="84">
        <f>Classificação!Y15</f>
        <v>7</v>
      </c>
      <c r="V187" s="84"/>
      <c r="W187" s="148">
        <v>7</v>
      </c>
      <c r="X187" s="112">
        <f t="shared" si="0"/>
        <v>80147101003</v>
      </c>
      <c r="Y187" s="84"/>
      <c r="Z187" s="84"/>
      <c r="AA187" s="148">
        <v>7</v>
      </c>
      <c r="AB187" s="84">
        <f t="shared" si="1"/>
        <v>10</v>
      </c>
      <c r="AC187" s="84"/>
      <c r="AD187" s="84"/>
      <c r="AE187" s="84"/>
      <c r="AF187" s="84"/>
      <c r="AG187" s="84"/>
      <c r="AH187" s="84"/>
      <c r="AI187" s="84"/>
      <c r="AJ187" s="84"/>
      <c r="AK187" s="84"/>
      <c r="AL187" s="84"/>
      <c r="AM187" s="2"/>
      <c r="AN187" s="2"/>
      <c r="AO187" s="2"/>
      <c r="AP187" s="2"/>
      <c r="AQ187" s="2"/>
      <c r="AR187" s="2"/>
      <c r="AS187" s="2"/>
      <c r="AT187" s="2"/>
    </row>
    <row r="188" spans="1:46" s="80" customFormat="1" x14ac:dyDescent="0.2">
      <c r="A188" s="2"/>
      <c r="B188" s="128">
        <f>VLOOKUP(AB183,$R$181:$U$192,4)</f>
        <v>1</v>
      </c>
      <c r="C188" s="128"/>
      <c r="D188" s="128"/>
      <c r="E188" s="128"/>
      <c r="F188" s="128">
        <f>VLOOKUP(AB186,$R$181:$U$192,4)</f>
        <v>3</v>
      </c>
      <c r="G188" s="128"/>
      <c r="H188" s="128"/>
      <c r="I188" s="128">
        <f>VLOOKUP(AB198,$R$196:$U$207,4)</f>
        <v>14</v>
      </c>
      <c r="J188" s="128"/>
      <c r="K188" s="128"/>
      <c r="L188" s="128"/>
      <c r="M188" s="128">
        <f>VLOOKUP(AB201,$R$196:$U$207,4)</f>
        <v>17</v>
      </c>
      <c r="N188" s="85"/>
      <c r="Q188" s="158"/>
      <c r="R188" s="117">
        <v>8</v>
      </c>
      <c r="S188" s="148" t="str">
        <f>Classificação!P16</f>
        <v>Monaco</v>
      </c>
      <c r="T188" s="148">
        <f>Classificação!AA16</f>
        <v>70146071005</v>
      </c>
      <c r="U188" s="84">
        <f>Classificação!Y16</f>
        <v>8</v>
      </c>
      <c r="V188" s="84"/>
      <c r="W188" s="148">
        <v>8</v>
      </c>
      <c r="X188" s="112">
        <f t="shared" si="0"/>
        <v>70241031002</v>
      </c>
      <c r="Y188" s="84"/>
      <c r="Z188" s="84"/>
      <c r="AA188" s="148">
        <v>8</v>
      </c>
      <c r="AB188" s="84">
        <f t="shared" si="1"/>
        <v>11</v>
      </c>
      <c r="AC188" s="84"/>
      <c r="AD188" s="84"/>
      <c r="AE188" s="84"/>
      <c r="AF188" s="84"/>
      <c r="AG188" s="84"/>
      <c r="AH188" s="84"/>
      <c r="AI188" s="84"/>
      <c r="AJ188" s="84"/>
      <c r="AK188" s="84"/>
      <c r="AL188" s="84"/>
      <c r="AM188" s="2"/>
      <c r="AN188" s="2"/>
      <c r="AO188" s="2"/>
      <c r="AP188" s="2"/>
      <c r="AQ188" s="2"/>
      <c r="AR188" s="2"/>
      <c r="AS188" s="2"/>
      <c r="AT188" s="2"/>
    </row>
    <row r="189" spans="1:46" s="80" customFormat="1" x14ac:dyDescent="0.2">
      <c r="A189" s="2"/>
      <c r="B189" s="128">
        <f>VLOOKUP(AB183,$R$181:$U$192,3)</f>
        <v>200657171012</v>
      </c>
      <c r="C189" s="128"/>
      <c r="D189" s="128"/>
      <c r="E189" s="128"/>
      <c r="F189" s="128">
        <f>VLOOKUP(AB186,$R$181:$U$192,3)</f>
        <v>90242071010</v>
      </c>
      <c r="G189" s="128"/>
      <c r="H189" s="128"/>
      <c r="I189" s="128">
        <f>VLOOKUP(AB198,$R$196:$U$207,3)</f>
        <v>190554071010</v>
      </c>
      <c r="J189" s="128"/>
      <c r="K189" s="128"/>
      <c r="L189" s="128"/>
      <c r="M189" s="128">
        <f>VLOOKUP(AB201,$R$196:$U$207,3)</f>
        <v>150447121007</v>
      </c>
      <c r="N189" s="85"/>
      <c r="Q189" s="158"/>
      <c r="R189" s="117">
        <v>9</v>
      </c>
      <c r="S189" s="148" t="str">
        <f>Classificação!P17</f>
        <v>Beşiktaş</v>
      </c>
      <c r="T189" s="148">
        <f>Classificação!AA17</f>
        <v>200662201004</v>
      </c>
      <c r="U189" s="84">
        <f>Classificação!Y17</f>
        <v>9</v>
      </c>
      <c r="V189" s="84"/>
      <c r="W189" s="148">
        <v>9</v>
      </c>
      <c r="X189" s="112">
        <f t="shared" si="0"/>
        <v>70146071005</v>
      </c>
      <c r="Y189" s="84"/>
      <c r="Z189" s="84"/>
      <c r="AA189" s="148">
        <v>9</v>
      </c>
      <c r="AB189" s="84">
        <f t="shared" si="1"/>
        <v>8</v>
      </c>
      <c r="AC189" s="84"/>
      <c r="AD189" s="84"/>
      <c r="AE189" s="84"/>
      <c r="AF189" s="84"/>
      <c r="AG189" s="84"/>
      <c r="AH189" s="84"/>
      <c r="AI189" s="84"/>
      <c r="AJ189" s="84"/>
      <c r="AK189" s="84"/>
      <c r="AL189" s="84"/>
      <c r="AM189" s="2"/>
      <c r="AN189" s="2"/>
      <c r="AO189" s="2"/>
      <c r="AP189" s="2"/>
      <c r="AQ189" s="2"/>
      <c r="AR189" s="2"/>
      <c r="AS189" s="2"/>
      <c r="AT189" s="2"/>
    </row>
    <row r="190" spans="1:46" s="80" customFormat="1" x14ac:dyDescent="0.2">
      <c r="A190" s="2"/>
      <c r="B190" s="31" t="str">
        <f>IF(B180="ok",(VLOOKUP(AB184,$R$181:$S$192,2)),"4º Colocado A")</f>
        <v>Schalke 04</v>
      </c>
      <c r="C190" s="88">
        <v>0</v>
      </c>
      <c r="D190" s="89" t="s">
        <v>20</v>
      </c>
      <c r="E190" s="90">
        <v>0</v>
      </c>
      <c r="F190" s="87" t="str">
        <f>IF(B180="ok",(VLOOKUP(AB185,$R$181:$S$192,2)),"5º Colocado A")</f>
        <v>Hoffenheim</v>
      </c>
      <c r="G190" s="85"/>
      <c r="H190" s="85"/>
      <c r="I190" s="31" t="str">
        <f>IF(B180="ok",(VLOOKUP(AB199,$R$196:$S$207,2)),"4º Colocado B")</f>
        <v>Torino</v>
      </c>
      <c r="J190" s="88">
        <v>2</v>
      </c>
      <c r="K190" s="89" t="s">
        <v>20</v>
      </c>
      <c r="L190" s="90">
        <v>0</v>
      </c>
      <c r="M190" s="87" t="str">
        <f>IF(B180="ok",(VLOOKUP(AB200,$R$196:$S$207,2)),"5º Colocado B")</f>
        <v>Villarreal</v>
      </c>
      <c r="N190" s="85"/>
      <c r="Q190" s="158"/>
      <c r="R190" s="117">
        <v>10</v>
      </c>
      <c r="S190" s="148" t="str">
        <f>Classificação!P18</f>
        <v>West Ham</v>
      </c>
      <c r="T190" s="148">
        <f>Classificação!AA18</f>
        <v>80147101003</v>
      </c>
      <c r="U190" s="84">
        <f>Classificação!Y18</f>
        <v>10</v>
      </c>
      <c r="V190" s="84"/>
      <c r="W190" s="148">
        <v>10</v>
      </c>
      <c r="X190" s="112">
        <f t="shared" si="0"/>
        <v>70144081006</v>
      </c>
      <c r="Y190" s="84"/>
      <c r="Z190" s="84"/>
      <c r="AA190" s="148">
        <v>10</v>
      </c>
      <c r="AB190" s="84">
        <f t="shared" si="1"/>
        <v>7</v>
      </c>
      <c r="AC190" s="84"/>
      <c r="AD190" s="84"/>
      <c r="AE190" s="84"/>
      <c r="AF190" s="84"/>
      <c r="AG190" s="84"/>
      <c r="AH190" s="84"/>
      <c r="AI190" s="84"/>
      <c r="AJ190" s="84"/>
      <c r="AK190" s="84"/>
      <c r="AL190" s="84"/>
      <c r="AM190" s="2"/>
      <c r="AN190" s="2"/>
      <c r="AO190" s="2"/>
      <c r="AP190" s="2"/>
      <c r="AQ190" s="2"/>
      <c r="AR190" s="2"/>
      <c r="AS190" s="2"/>
      <c r="AT190" s="2"/>
    </row>
    <row r="191" spans="1:46" s="80" customFormat="1" x14ac:dyDescent="0.2">
      <c r="A191" s="2"/>
      <c r="B191" s="128">
        <f>VLOOKUP(AB184,$R$181:$U$192,4)</f>
        <v>5</v>
      </c>
      <c r="C191" s="141">
        <v>5</v>
      </c>
      <c r="D191" s="128"/>
      <c r="E191" s="141">
        <v>4</v>
      </c>
      <c r="F191" s="128">
        <f>VLOOKUP(AB185,$R$181:$U$192,4)</f>
        <v>2</v>
      </c>
      <c r="G191" s="128"/>
      <c r="H191" s="128"/>
      <c r="I191" s="128">
        <f>VLOOKUP(AB199,$R$196:$U$207,4)</f>
        <v>21</v>
      </c>
      <c r="J191" s="128"/>
      <c r="K191" s="128"/>
      <c r="L191" s="128"/>
      <c r="M191" s="128">
        <f>VLOOKUP(AB200,$R$196:$U$207,4)</f>
        <v>16</v>
      </c>
      <c r="N191" s="85"/>
      <c r="Q191" s="159"/>
      <c r="R191" s="118">
        <v>11</v>
      </c>
      <c r="S191" s="113" t="str">
        <f>Classificação!P19</f>
        <v>Olympique</v>
      </c>
      <c r="T191" s="113">
        <f>Classificação!AA19</f>
        <v>70241031002</v>
      </c>
      <c r="U191" s="114">
        <f>Classificação!Y19</f>
        <v>11</v>
      </c>
      <c r="V191" s="114"/>
      <c r="W191" s="113">
        <v>11</v>
      </c>
      <c r="X191" s="115">
        <f t="shared" si="0"/>
        <v>50000007</v>
      </c>
      <c r="Y191" s="84"/>
      <c r="Z191" s="84"/>
      <c r="AA191" s="148">
        <v>11</v>
      </c>
      <c r="AB191" s="84">
        <f t="shared" si="1"/>
        <v>6</v>
      </c>
      <c r="AC191" s="84"/>
      <c r="AD191" s="84"/>
      <c r="AE191" s="84"/>
      <c r="AF191" s="84"/>
      <c r="AG191" s="84"/>
      <c r="AH191" s="84"/>
      <c r="AI191" s="84"/>
      <c r="AJ191" s="84"/>
      <c r="AK191" s="84"/>
      <c r="AL191" s="84"/>
      <c r="AM191" s="2"/>
      <c r="AN191" s="2"/>
      <c r="AO191" s="2"/>
      <c r="AP191" s="2"/>
      <c r="AQ191" s="2"/>
      <c r="AR191" s="2"/>
      <c r="AS191" s="2"/>
      <c r="AT191" s="2"/>
    </row>
    <row r="192" spans="1:46" s="80" customFormat="1" hidden="1" x14ac:dyDescent="0.2">
      <c r="A192" s="2"/>
      <c r="B192" s="128">
        <f>VLOOKUP(AB184,$R$181:$U$192,3)</f>
        <v>170556131008</v>
      </c>
      <c r="C192" s="128"/>
      <c r="D192" s="128"/>
      <c r="E192" s="128"/>
      <c r="F192" s="128">
        <f>VLOOKUP(AB185,$R$181:$U$192,3)</f>
        <v>110346101011</v>
      </c>
      <c r="G192" s="128"/>
      <c r="H192" s="128"/>
      <c r="I192" s="128">
        <f>VLOOKUP(AB199,$R$196:$U$207,3)</f>
        <v>170554161003</v>
      </c>
      <c r="J192" s="128"/>
      <c r="K192" s="128"/>
      <c r="L192" s="128"/>
      <c r="M192" s="128">
        <f>VLOOKUP(AB200,$R$196:$U$207,3)</f>
        <v>150450091008</v>
      </c>
      <c r="N192" s="85"/>
      <c r="Q192" s="127"/>
      <c r="R192" s="148"/>
      <c r="S192" s="148"/>
      <c r="T192" s="148"/>
      <c r="U192" s="84"/>
      <c r="V192" s="84"/>
      <c r="W192" s="148"/>
      <c r="X192" s="84"/>
      <c r="Y192" s="84"/>
      <c r="Z192" s="84"/>
      <c r="AA192" s="148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84"/>
      <c r="AM192" s="2"/>
      <c r="AN192" s="2"/>
      <c r="AO192" s="2"/>
      <c r="AP192" s="2"/>
      <c r="AQ192" s="2"/>
      <c r="AR192" s="2"/>
      <c r="AS192" s="2"/>
      <c r="AT192" s="2"/>
    </row>
    <row r="193" spans="1:46" s="80" customFormat="1" hidden="1" x14ac:dyDescent="0.2">
      <c r="A193" s="2"/>
      <c r="B193" s="85"/>
      <c r="C193" s="85"/>
      <c r="D193" s="91"/>
      <c r="E193" s="92"/>
      <c r="F193" s="85"/>
      <c r="G193" s="85"/>
      <c r="H193" s="85"/>
      <c r="I193" s="85"/>
      <c r="J193" s="85"/>
      <c r="K193" s="91"/>
      <c r="L193" s="92"/>
      <c r="M193" s="85"/>
      <c r="N193" s="85"/>
      <c r="Y193" s="84"/>
      <c r="Z193" s="84"/>
      <c r="AA193" s="148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84"/>
      <c r="AM193" s="2"/>
      <c r="AN193" s="2"/>
      <c r="AO193" s="2"/>
      <c r="AP193" s="2"/>
      <c r="AQ193" s="2"/>
      <c r="AR193" s="2"/>
      <c r="AS193" s="2"/>
      <c r="AT193" s="2"/>
    </row>
    <row r="194" spans="1:46" s="80" customFormat="1" hidden="1" x14ac:dyDescent="0.2">
      <c r="A194" s="2"/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Y194" s="84"/>
      <c r="Z194" s="84"/>
      <c r="AA194" s="148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84"/>
      <c r="AM194" s="2"/>
      <c r="AN194" s="2"/>
      <c r="AO194" s="2"/>
      <c r="AP194" s="2"/>
      <c r="AQ194" s="2"/>
      <c r="AR194" s="2"/>
      <c r="AS194" s="2"/>
      <c r="AT194" s="2"/>
    </row>
    <row r="195" spans="1:46" s="80" customFormat="1" hidden="1" x14ac:dyDescent="0.2">
      <c r="A195" s="2"/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Y195" s="84"/>
      <c r="Z195" s="84"/>
      <c r="AA195" s="148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84"/>
      <c r="AM195" s="2"/>
      <c r="AN195" s="2"/>
      <c r="AO195" s="2"/>
      <c r="AP195" s="2"/>
      <c r="AQ195" s="2"/>
      <c r="AR195" s="2"/>
      <c r="AS195" s="2"/>
      <c r="AT195" s="2"/>
    </row>
    <row r="196" spans="1:46" s="80" customFormat="1" ht="12.75" hidden="1" customHeight="1" x14ac:dyDescent="0.2">
      <c r="A196" s="2"/>
      <c r="B196" s="85"/>
      <c r="C196" s="85"/>
      <c r="D196" s="91"/>
      <c r="E196" s="92"/>
      <c r="F196" s="85"/>
      <c r="G196" s="85"/>
      <c r="H196" s="85"/>
      <c r="I196" s="85"/>
      <c r="J196" s="85"/>
      <c r="K196" s="91"/>
      <c r="L196" s="92"/>
      <c r="M196" s="85"/>
      <c r="N196" s="85"/>
      <c r="Q196" s="157" t="s">
        <v>75</v>
      </c>
      <c r="R196" s="116">
        <v>1</v>
      </c>
      <c r="S196" s="109" t="str">
        <f>Classificação!P25</f>
        <v>Sevilla</v>
      </c>
      <c r="T196" s="109">
        <f>Classificação!AA25</f>
        <v>110347131012</v>
      </c>
      <c r="U196" s="110">
        <f>Classificação!Y25</f>
        <v>12</v>
      </c>
      <c r="V196" s="110"/>
      <c r="W196" s="109">
        <v>1</v>
      </c>
      <c r="X196" s="111">
        <f>LARGE($T$196:$T$206,W196)</f>
        <v>250865191005</v>
      </c>
      <c r="Y196" s="84"/>
      <c r="Z196" s="84"/>
      <c r="AA196" s="148">
        <v>1</v>
      </c>
      <c r="AB196" s="84">
        <f>MATCH(X196,$T$196:$T$207,0)</f>
        <v>8</v>
      </c>
      <c r="AC196" s="84"/>
      <c r="AD196" s="84"/>
      <c r="AE196" s="84"/>
      <c r="AF196" s="84"/>
      <c r="AG196" s="84"/>
      <c r="AH196" s="84"/>
      <c r="AI196" s="84"/>
      <c r="AJ196" s="84"/>
      <c r="AK196" s="84"/>
      <c r="AL196" s="84"/>
      <c r="AM196" s="2"/>
      <c r="AN196" s="2"/>
      <c r="AO196" s="2"/>
      <c r="AP196" s="2"/>
      <c r="AQ196" s="2"/>
      <c r="AR196" s="2"/>
      <c r="AS196" s="2"/>
      <c r="AT196" s="2"/>
    </row>
    <row r="197" spans="1:46" s="80" customFormat="1" hidden="1" x14ac:dyDescent="0.2">
      <c r="A197" s="2"/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Q197" s="158"/>
      <c r="R197" s="117">
        <v>2</v>
      </c>
      <c r="S197" s="148" t="str">
        <f>Classificação!P26</f>
        <v>P S V</v>
      </c>
      <c r="T197" s="148">
        <f>Classificação!AA26</f>
        <v>190653121011</v>
      </c>
      <c r="U197" s="84">
        <f>Classificação!Y26</f>
        <v>13</v>
      </c>
      <c r="V197" s="84"/>
      <c r="W197" s="148">
        <v>2</v>
      </c>
      <c r="X197" s="112">
        <f t="shared" ref="X197:X206" si="2">LARGE($T$196:$T$207,W197)</f>
        <v>190653121011</v>
      </c>
      <c r="Y197" s="148"/>
      <c r="Z197" s="148"/>
      <c r="AA197" s="148">
        <v>2</v>
      </c>
      <c r="AB197" s="84">
        <f t="shared" ref="AB197:AB206" si="3">MATCH(X197,$T$196:$T$207,0)</f>
        <v>2</v>
      </c>
      <c r="AC197" s="84"/>
      <c r="AD197" s="84"/>
      <c r="AE197" s="84"/>
      <c r="AF197" s="84"/>
      <c r="AG197" s="84"/>
      <c r="AH197" s="84"/>
      <c r="AI197" s="84"/>
      <c r="AJ197" s="84"/>
      <c r="AK197" s="84"/>
      <c r="AL197" s="84"/>
      <c r="AM197" s="2"/>
      <c r="AN197" s="2"/>
      <c r="AO197" s="2"/>
      <c r="AP197" s="2"/>
      <c r="AQ197" s="2"/>
      <c r="AR197" s="2"/>
      <c r="AS197" s="2"/>
      <c r="AT197" s="2"/>
    </row>
    <row r="198" spans="1:46" s="80" customFormat="1" hidden="1" x14ac:dyDescent="0.2">
      <c r="A198" s="2"/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Q198" s="158"/>
      <c r="R198" s="117">
        <v>3</v>
      </c>
      <c r="S198" s="148" t="str">
        <f>Classificação!P27</f>
        <v>Crystal Palace</v>
      </c>
      <c r="T198" s="148">
        <f>Classificação!AA27</f>
        <v>190554071010</v>
      </c>
      <c r="U198" s="84">
        <f>Classificação!Y27</f>
        <v>14</v>
      </c>
      <c r="V198" s="84"/>
      <c r="W198" s="148">
        <v>3</v>
      </c>
      <c r="X198" s="112">
        <f t="shared" si="2"/>
        <v>190554071010</v>
      </c>
      <c r="Y198" s="148"/>
      <c r="Z198" s="148"/>
      <c r="AA198" s="148">
        <v>3</v>
      </c>
      <c r="AB198" s="84">
        <f t="shared" si="3"/>
        <v>3</v>
      </c>
      <c r="AC198" s="84"/>
      <c r="AD198" s="84"/>
      <c r="AE198" s="84"/>
      <c r="AF198" s="84"/>
      <c r="AG198" s="84"/>
      <c r="AH198" s="84"/>
      <c r="AI198" s="84"/>
      <c r="AJ198" s="84"/>
      <c r="AK198" s="84"/>
      <c r="AL198" s="84"/>
      <c r="AM198" s="2"/>
      <c r="AN198" s="2"/>
      <c r="AO198" s="2"/>
      <c r="AP198" s="2"/>
      <c r="AQ198" s="2"/>
      <c r="AR198" s="2"/>
      <c r="AS198" s="2"/>
      <c r="AT198" s="2"/>
    </row>
    <row r="199" spans="1:46" s="80" customFormat="1" ht="12.75" hidden="1" customHeight="1" x14ac:dyDescent="0.2">
      <c r="A199" s="2"/>
      <c r="B199" s="85"/>
      <c r="C199" s="85"/>
      <c r="D199" s="91"/>
      <c r="E199" s="92"/>
      <c r="F199" s="85"/>
      <c r="G199" s="85"/>
      <c r="H199" s="85"/>
      <c r="I199" s="85"/>
      <c r="J199" s="85"/>
      <c r="K199" s="91"/>
      <c r="L199" s="92"/>
      <c r="M199" s="85"/>
      <c r="N199" s="85"/>
      <c r="Q199" s="158"/>
      <c r="R199" s="117">
        <v>4</v>
      </c>
      <c r="S199" s="148" t="str">
        <f>Classificação!P28</f>
        <v>Borussia M</v>
      </c>
      <c r="T199" s="148">
        <f>Classificação!AA28</f>
        <v>110248081009</v>
      </c>
      <c r="U199" s="84">
        <f>Classificação!Y28</f>
        <v>15</v>
      </c>
      <c r="V199" s="84"/>
      <c r="W199" s="148">
        <v>4</v>
      </c>
      <c r="X199" s="112">
        <f t="shared" si="2"/>
        <v>170554161003</v>
      </c>
      <c r="Y199" s="148"/>
      <c r="Z199" s="148"/>
      <c r="AA199" s="148">
        <v>4</v>
      </c>
      <c r="AB199" s="84">
        <f t="shared" si="3"/>
        <v>10</v>
      </c>
      <c r="AC199" s="84"/>
      <c r="AD199" s="84"/>
      <c r="AE199" s="84"/>
      <c r="AF199" s="84"/>
      <c r="AG199" s="84"/>
      <c r="AH199" s="84"/>
      <c r="AI199" s="84"/>
      <c r="AJ199" s="84"/>
      <c r="AK199" s="84"/>
      <c r="AL199" s="84"/>
      <c r="AM199" s="2"/>
      <c r="AN199" s="2"/>
      <c r="AO199" s="2"/>
      <c r="AP199" s="2"/>
      <c r="AQ199" s="2"/>
      <c r="AR199" s="2"/>
      <c r="AS199" s="2"/>
      <c r="AT199" s="2"/>
    </row>
    <row r="200" spans="1:46" s="80" customFormat="1" hidden="1" x14ac:dyDescent="0.2">
      <c r="A200" s="2"/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Q200" s="158"/>
      <c r="R200" s="117">
        <v>5</v>
      </c>
      <c r="S200" s="148" t="str">
        <f>Classificação!P29</f>
        <v>Villarreal</v>
      </c>
      <c r="T200" s="148">
        <f>Classificação!AA29</f>
        <v>150450091008</v>
      </c>
      <c r="U200" s="84">
        <f>Classificação!Y29</f>
        <v>16</v>
      </c>
      <c r="V200" s="148"/>
      <c r="W200" s="148">
        <v>5</v>
      </c>
      <c r="X200" s="112">
        <f t="shared" si="2"/>
        <v>150450091008</v>
      </c>
      <c r="Y200" s="84"/>
      <c r="Z200" s="84"/>
      <c r="AA200" s="148">
        <v>5</v>
      </c>
      <c r="AB200" s="84">
        <f t="shared" si="3"/>
        <v>5</v>
      </c>
      <c r="AC200" s="84"/>
      <c r="AD200" s="84"/>
      <c r="AE200" s="84"/>
      <c r="AF200" s="84"/>
      <c r="AG200" s="84"/>
      <c r="AH200" s="84"/>
      <c r="AI200" s="84"/>
      <c r="AJ200" s="84"/>
      <c r="AK200" s="84"/>
      <c r="AL200" s="84"/>
      <c r="AM200" s="2"/>
      <c r="AN200" s="2"/>
      <c r="AO200" s="2"/>
      <c r="AP200" s="2"/>
      <c r="AQ200" s="2"/>
      <c r="AR200" s="2"/>
      <c r="AS200" s="2"/>
      <c r="AT200" s="2"/>
    </row>
    <row r="201" spans="1:46" s="80" customFormat="1" hidden="1" x14ac:dyDescent="0.2">
      <c r="A201" s="2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Q201" s="158"/>
      <c r="R201" s="117">
        <v>6</v>
      </c>
      <c r="S201" s="148" t="str">
        <f>Classificação!P30</f>
        <v>R B Leipzig</v>
      </c>
      <c r="T201" s="148">
        <f>Classificação!AA30</f>
        <v>150447121007</v>
      </c>
      <c r="U201" s="84">
        <f>Classificação!Y30</f>
        <v>17</v>
      </c>
      <c r="V201" s="148"/>
      <c r="W201" s="148">
        <v>6</v>
      </c>
      <c r="X201" s="112">
        <f t="shared" si="2"/>
        <v>150447121007</v>
      </c>
      <c r="Y201" s="84"/>
      <c r="Z201" s="84"/>
      <c r="AA201" s="148">
        <v>6</v>
      </c>
      <c r="AB201" s="84">
        <f t="shared" si="3"/>
        <v>6</v>
      </c>
      <c r="AC201" s="84"/>
      <c r="AD201" s="84"/>
      <c r="AE201" s="84"/>
      <c r="AF201" s="84"/>
      <c r="AG201" s="84"/>
      <c r="AH201" s="84"/>
      <c r="AI201" s="84"/>
      <c r="AJ201" s="84"/>
      <c r="AK201" s="84"/>
      <c r="AL201" s="84"/>
      <c r="AM201" s="2"/>
      <c r="AN201" s="2"/>
      <c r="AO201" s="2"/>
      <c r="AP201" s="2"/>
      <c r="AQ201" s="2"/>
      <c r="AR201" s="2"/>
      <c r="AS201" s="2"/>
      <c r="AT201" s="2"/>
    </row>
    <row r="202" spans="1:46" s="80" customFormat="1" hidden="1" x14ac:dyDescent="0.2">
      <c r="A202" s="2"/>
      <c r="B202" s="85"/>
      <c r="C202" s="85"/>
      <c r="D202" s="91"/>
      <c r="E202" s="92"/>
      <c r="F202" s="85"/>
      <c r="G202" s="85"/>
      <c r="H202" s="85"/>
      <c r="I202" s="85"/>
      <c r="J202" s="85"/>
      <c r="K202" s="91"/>
      <c r="L202" s="92"/>
      <c r="M202" s="85"/>
      <c r="N202" s="85"/>
      <c r="Q202" s="158"/>
      <c r="R202" s="117">
        <v>7</v>
      </c>
      <c r="S202" s="148" t="str">
        <f>Classificação!P31</f>
        <v>Real Betis</v>
      </c>
      <c r="T202" s="148">
        <f>Classificação!AA31</f>
        <v>80148091006</v>
      </c>
      <c r="U202" s="84">
        <f>Classificação!Y31</f>
        <v>18</v>
      </c>
      <c r="V202" s="148"/>
      <c r="W202" s="148">
        <v>7</v>
      </c>
      <c r="X202" s="112">
        <f t="shared" si="2"/>
        <v>110347131012</v>
      </c>
      <c r="Y202" s="84"/>
      <c r="Z202" s="84"/>
      <c r="AA202" s="148">
        <v>7</v>
      </c>
      <c r="AB202" s="84">
        <f t="shared" si="3"/>
        <v>1</v>
      </c>
      <c r="AC202" s="84"/>
      <c r="AD202" s="84"/>
      <c r="AE202" s="84"/>
      <c r="AF202" s="84"/>
      <c r="AG202" s="84"/>
      <c r="AH202" s="84"/>
      <c r="AI202" s="84"/>
      <c r="AJ202" s="84"/>
      <c r="AK202" s="84"/>
      <c r="AL202" s="84"/>
      <c r="AM202" s="2"/>
      <c r="AN202" s="2"/>
      <c r="AO202" s="2"/>
      <c r="AP202" s="2"/>
      <c r="AQ202" s="2"/>
      <c r="AR202" s="2"/>
      <c r="AS202" s="2"/>
      <c r="AT202" s="2"/>
    </row>
    <row r="203" spans="1:46" s="80" customFormat="1" hidden="1" x14ac:dyDescent="0.2">
      <c r="A203" s="2"/>
      <c r="B203" s="85"/>
      <c r="C203" s="85"/>
      <c r="D203" s="91"/>
      <c r="E203" s="92"/>
      <c r="F203" s="85"/>
      <c r="G203" s="85"/>
      <c r="H203" s="85"/>
      <c r="I203" s="85"/>
      <c r="J203" s="85"/>
      <c r="K203" s="91"/>
      <c r="L203" s="92"/>
      <c r="M203" s="85"/>
      <c r="N203" s="85"/>
      <c r="Q203" s="158"/>
      <c r="R203" s="117">
        <v>8</v>
      </c>
      <c r="S203" s="148" t="str">
        <f>Classificação!P32</f>
        <v>Celta De Vigo</v>
      </c>
      <c r="T203" s="148">
        <f>Classificação!AA32</f>
        <v>250865191005</v>
      </c>
      <c r="U203" s="84">
        <f>Classificação!Y32</f>
        <v>19</v>
      </c>
      <c r="V203" s="84"/>
      <c r="W203" s="148">
        <v>8</v>
      </c>
      <c r="X203" s="112">
        <f t="shared" si="2"/>
        <v>110248081009</v>
      </c>
      <c r="Y203" s="84"/>
      <c r="Z203" s="84"/>
      <c r="AA203" s="148">
        <v>8</v>
      </c>
      <c r="AB203" s="84">
        <f t="shared" si="3"/>
        <v>4</v>
      </c>
      <c r="AC203" s="84"/>
      <c r="AD203" s="84"/>
      <c r="AE203" s="84"/>
      <c r="AF203" s="84"/>
      <c r="AG203" s="84"/>
      <c r="AH203" s="84"/>
      <c r="AI203" s="84"/>
      <c r="AJ203" s="84"/>
      <c r="AK203" s="84"/>
      <c r="AL203" s="84"/>
      <c r="AM203" s="2"/>
      <c r="AN203" s="2"/>
      <c r="AO203" s="2"/>
      <c r="AP203" s="2"/>
      <c r="AQ203" s="2"/>
      <c r="AR203" s="2"/>
      <c r="AS203" s="2"/>
      <c r="AT203" s="2"/>
    </row>
    <row r="204" spans="1:46" s="80" customFormat="1" hidden="1" x14ac:dyDescent="0.2">
      <c r="A204" s="2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Q204" s="158"/>
      <c r="R204" s="117">
        <v>9</v>
      </c>
      <c r="S204" s="148" t="str">
        <f>Classificação!P33</f>
        <v>Everton</v>
      </c>
      <c r="T204" s="148">
        <f>Classificação!AA33</f>
        <v>50134081004</v>
      </c>
      <c r="U204" s="84">
        <f>Classificação!Y33</f>
        <v>20</v>
      </c>
      <c r="V204" s="84"/>
      <c r="W204" s="148">
        <v>9</v>
      </c>
      <c r="X204" s="112">
        <f t="shared" si="2"/>
        <v>80148091006</v>
      </c>
      <c r="Y204" s="84"/>
      <c r="Z204" s="84"/>
      <c r="AA204" s="148">
        <v>9</v>
      </c>
      <c r="AB204" s="84">
        <f t="shared" si="3"/>
        <v>7</v>
      </c>
      <c r="AC204" s="84"/>
      <c r="AD204" s="84"/>
      <c r="AE204" s="84"/>
      <c r="AF204" s="84"/>
      <c r="AG204" s="84"/>
      <c r="AH204" s="84"/>
      <c r="AI204" s="84"/>
      <c r="AJ204" s="84"/>
      <c r="AK204" s="84"/>
      <c r="AL204" s="84"/>
      <c r="AM204" s="2"/>
      <c r="AN204" s="2"/>
      <c r="AO204" s="2"/>
      <c r="AP204" s="2"/>
      <c r="AQ204" s="2"/>
      <c r="AR204" s="2"/>
      <c r="AS204" s="2"/>
      <c r="AT204" s="2"/>
    </row>
    <row r="205" spans="1:46" s="80" customFormat="1" hidden="1" x14ac:dyDescent="0.2">
      <c r="A205" s="2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Q205" s="158"/>
      <c r="R205" s="117">
        <v>10</v>
      </c>
      <c r="S205" s="148" t="str">
        <f>Classificação!P34</f>
        <v>Torino</v>
      </c>
      <c r="T205" s="148">
        <f>Classificação!AA34</f>
        <v>170554161003</v>
      </c>
      <c r="U205" s="84">
        <f>Classificação!Y34</f>
        <v>21</v>
      </c>
      <c r="V205" s="84"/>
      <c r="W205" s="148">
        <v>10</v>
      </c>
      <c r="X205" s="112">
        <f t="shared" si="2"/>
        <v>50134081004</v>
      </c>
      <c r="Y205" s="84"/>
      <c r="Z205" s="84"/>
      <c r="AA205" s="148">
        <v>10</v>
      </c>
      <c r="AB205" s="84">
        <f t="shared" si="3"/>
        <v>9</v>
      </c>
      <c r="AC205" s="84"/>
      <c r="AD205" s="84"/>
      <c r="AE205" s="84"/>
      <c r="AF205" s="84"/>
      <c r="AG205" s="84"/>
      <c r="AH205" s="84"/>
      <c r="AI205" s="84"/>
      <c r="AJ205" s="84"/>
      <c r="AK205" s="84"/>
      <c r="AL205" s="84"/>
      <c r="AM205" s="2"/>
      <c r="AN205" s="2"/>
      <c r="AO205" s="2"/>
      <c r="AP205" s="2"/>
      <c r="AQ205" s="2"/>
      <c r="AR205" s="2"/>
      <c r="AS205" s="2"/>
      <c r="AT205" s="2"/>
    </row>
    <row r="206" spans="1:46" s="80" customFormat="1" x14ac:dyDescent="0.2">
      <c r="A206" s="2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Q206" s="159"/>
      <c r="R206" s="118">
        <v>11</v>
      </c>
      <c r="S206" s="113" t="str">
        <f>Classificação!P35</f>
        <v>W.O</v>
      </c>
      <c r="T206" s="113">
        <f>Classificação!AA35</f>
        <v>50000002</v>
      </c>
      <c r="U206" s="114">
        <f>Classificação!Y35</f>
        <v>22</v>
      </c>
      <c r="V206" s="114"/>
      <c r="W206" s="113">
        <v>11</v>
      </c>
      <c r="X206" s="115">
        <f t="shared" si="2"/>
        <v>50000002</v>
      </c>
      <c r="Y206" s="84"/>
      <c r="Z206" s="84"/>
      <c r="AA206" s="148">
        <v>11</v>
      </c>
      <c r="AB206" s="84">
        <f t="shared" si="3"/>
        <v>11</v>
      </c>
      <c r="AC206" s="84"/>
      <c r="AD206" s="84"/>
      <c r="AE206" s="84"/>
      <c r="AF206" s="84"/>
      <c r="AG206" s="84"/>
      <c r="AH206" s="84"/>
      <c r="AI206" s="84"/>
      <c r="AJ206" s="84"/>
      <c r="AK206" s="84"/>
      <c r="AL206" s="84"/>
      <c r="AM206" s="2"/>
      <c r="AN206" s="2"/>
      <c r="AO206" s="2"/>
      <c r="AP206" s="2"/>
      <c r="AQ206" s="2"/>
      <c r="AR206" s="2"/>
      <c r="AS206" s="2"/>
      <c r="AT206" s="2"/>
    </row>
    <row r="207" spans="1:46" s="80" customFormat="1" x14ac:dyDescent="0.2">
      <c r="A207" s="2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Q207" s="127"/>
      <c r="R207" s="148"/>
      <c r="S207" s="148"/>
      <c r="T207" s="148"/>
      <c r="U207" s="84"/>
      <c r="V207" s="84"/>
      <c r="W207" s="148"/>
      <c r="X207" s="84"/>
      <c r="Y207" s="84"/>
      <c r="Z207" s="84"/>
      <c r="AA207" s="148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  <c r="AL207" s="84"/>
      <c r="AM207" s="2"/>
      <c r="AN207" s="2"/>
      <c r="AO207" s="2"/>
      <c r="AP207" s="2"/>
      <c r="AQ207" s="2"/>
      <c r="AR207" s="2"/>
      <c r="AS207" s="2"/>
      <c r="AT207" s="2"/>
    </row>
    <row r="208" spans="1:46" s="80" customFormat="1" x14ac:dyDescent="0.2">
      <c r="A208" s="2"/>
      <c r="B208" s="1"/>
      <c r="C208" s="2"/>
      <c r="D208" s="2"/>
      <c r="E208" s="2"/>
      <c r="F208" s="2"/>
      <c r="G208" s="2"/>
      <c r="H208" s="2"/>
      <c r="I208" s="1"/>
      <c r="J208" s="1"/>
      <c r="K208" s="2"/>
      <c r="L208" s="1"/>
      <c r="M208" s="1"/>
      <c r="N208" s="2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  <c r="AL208" s="84"/>
      <c r="AM208" s="2"/>
      <c r="AN208" s="2"/>
      <c r="AO208" s="2"/>
      <c r="AP208" s="2"/>
      <c r="AQ208" s="2"/>
      <c r="AR208" s="2"/>
      <c r="AS208" s="2"/>
      <c r="AT208" s="2"/>
    </row>
    <row r="209" spans="1:46" s="80" customFormat="1" x14ac:dyDescent="0.2">
      <c r="A209" s="2"/>
      <c r="B209" s="1"/>
      <c r="C209" s="2"/>
      <c r="D209" s="2"/>
      <c r="E209" s="2"/>
      <c r="F209" s="2"/>
      <c r="G209" s="2"/>
      <c r="H209" s="2"/>
      <c r="I209" s="1"/>
      <c r="J209" s="1"/>
      <c r="K209" s="2"/>
      <c r="L209" s="1"/>
      <c r="M209" s="1"/>
      <c r="N209" s="2"/>
      <c r="R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84"/>
      <c r="AM209" s="2"/>
      <c r="AN209" s="2"/>
      <c r="AO209" s="2"/>
      <c r="AP209" s="2"/>
      <c r="AQ209" s="2"/>
      <c r="AR209" s="2"/>
      <c r="AS209" s="2"/>
      <c r="AT209" s="2"/>
    </row>
    <row r="210" spans="1:46" s="80" customFormat="1" ht="15.75" x14ac:dyDescent="0.25">
      <c r="B210" s="1"/>
      <c r="C210" s="2"/>
      <c r="D210" s="2"/>
      <c r="E210" s="2"/>
      <c r="F210" s="2"/>
      <c r="G210" s="165" t="s">
        <v>53</v>
      </c>
      <c r="H210" s="165"/>
      <c r="I210" s="1"/>
      <c r="J210" s="1"/>
      <c r="K210" s="2"/>
      <c r="L210" s="1"/>
      <c r="M210" s="1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  <c r="AL210" s="84"/>
      <c r="AM210" s="2"/>
      <c r="AN210" s="2"/>
      <c r="AO210" s="2"/>
      <c r="AP210" s="2"/>
      <c r="AQ210" s="2"/>
      <c r="AR210" s="2"/>
      <c r="AS210" s="2"/>
      <c r="AT210" s="2"/>
    </row>
    <row r="211" spans="1:46" s="80" customFormat="1" x14ac:dyDescent="0.2">
      <c r="B211" s="1"/>
      <c r="C211" s="2"/>
      <c r="D211" s="2"/>
      <c r="E211" s="2"/>
      <c r="F211" s="2"/>
      <c r="I211" s="1"/>
      <c r="J211" s="1"/>
      <c r="K211" s="2"/>
      <c r="L211" s="1"/>
      <c r="M211" s="1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  <c r="AL211" s="84"/>
      <c r="AM211" s="2"/>
      <c r="AN211" s="2"/>
      <c r="AO211" s="2"/>
      <c r="AP211" s="2"/>
      <c r="AQ211" s="2"/>
      <c r="AR211" s="2"/>
      <c r="AS211" s="2"/>
      <c r="AT211" s="2"/>
    </row>
    <row r="212" spans="1:46" s="80" customFormat="1" ht="15.75" customHeight="1" x14ac:dyDescent="0.2">
      <c r="B212" s="1"/>
      <c r="C212" s="2"/>
      <c r="D212" s="2"/>
      <c r="E212" s="2"/>
      <c r="F212" s="2"/>
      <c r="I212" s="1"/>
      <c r="J212" s="1"/>
      <c r="K212" s="2"/>
      <c r="L212" s="1"/>
      <c r="M212" s="1"/>
      <c r="O212" s="83"/>
      <c r="R212" s="84"/>
      <c r="S212" s="84" t="s">
        <v>39</v>
      </c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J212" s="84"/>
      <c r="AK212" s="84"/>
      <c r="AL212" s="84"/>
      <c r="AM212" s="84"/>
      <c r="AN212" s="84"/>
      <c r="AO212" s="2"/>
      <c r="AP212" s="2"/>
      <c r="AQ212" s="2"/>
      <c r="AR212" s="2"/>
      <c r="AS212" s="2"/>
      <c r="AT212" s="2"/>
    </row>
    <row r="213" spans="1:46" s="80" customFormat="1" x14ac:dyDescent="0.2">
      <c r="B213" s="1"/>
      <c r="C213" s="2"/>
      <c r="D213" s="2"/>
      <c r="E213" s="2"/>
      <c r="F213" s="2"/>
      <c r="I213" s="1"/>
      <c r="J213" s="1"/>
      <c r="K213" s="2"/>
      <c r="L213" s="1"/>
      <c r="M213" s="1"/>
      <c r="O213" s="83"/>
      <c r="Q213" s="83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  <c r="AL213" s="84"/>
      <c r="AM213" s="2"/>
      <c r="AN213" s="2"/>
      <c r="AO213" s="2"/>
      <c r="AP213" s="2"/>
      <c r="AQ213" s="2"/>
      <c r="AT213" s="2"/>
    </row>
    <row r="214" spans="1:46" s="80" customFormat="1" x14ac:dyDescent="0.2">
      <c r="A214" s="83" t="str">
        <f>IF(L202&lt;&gt;"",VLOOKUP(AL240,$O$233:$Q$240,2),"")</f>
        <v/>
      </c>
      <c r="B214" s="143" t="str">
        <f>Q243</f>
        <v>Celta De Vigo</v>
      </c>
      <c r="C214" s="94">
        <v>2</v>
      </c>
      <c r="D214" s="95" t="s">
        <v>20</v>
      </c>
      <c r="E214" s="96">
        <v>0</v>
      </c>
      <c r="F214" s="93" t="str">
        <f>Q250</f>
        <v>R B Leipzig</v>
      </c>
      <c r="G214" s="80" t="str">
        <f>IF(L202&lt;&gt;"",VLOOKUP(AL233,$O$233:$Q$240,2),"")</f>
        <v/>
      </c>
      <c r="I214" s="143" t="str">
        <f>Q245</f>
        <v>Beşiktaş</v>
      </c>
      <c r="J214" s="94">
        <v>2</v>
      </c>
      <c r="K214" s="95" t="s">
        <v>20</v>
      </c>
      <c r="L214" s="96">
        <v>0</v>
      </c>
      <c r="M214" s="93" t="str">
        <f>Q248</f>
        <v>P S V</v>
      </c>
      <c r="O214" s="97" t="s">
        <v>63</v>
      </c>
      <c r="P214" s="148" t="s">
        <v>36</v>
      </c>
      <c r="Q214" s="148" t="s">
        <v>1</v>
      </c>
      <c r="R214" s="148" t="s">
        <v>2</v>
      </c>
      <c r="S214" s="148" t="s">
        <v>3</v>
      </c>
      <c r="T214" s="148" t="s">
        <v>4</v>
      </c>
      <c r="U214" s="148" t="s">
        <v>5</v>
      </c>
      <c r="V214" s="148" t="s">
        <v>6</v>
      </c>
      <c r="W214" s="148" t="s">
        <v>7</v>
      </c>
      <c r="X214" s="148" t="s">
        <v>8</v>
      </c>
      <c r="Y214" s="148" t="s">
        <v>9</v>
      </c>
      <c r="Z214" s="84"/>
      <c r="AA214" s="84" t="s">
        <v>64</v>
      </c>
      <c r="AB214" s="84"/>
      <c r="AC214" s="84" t="s">
        <v>65</v>
      </c>
      <c r="AD214" s="84"/>
      <c r="AE214" s="84"/>
      <c r="AF214" s="84"/>
      <c r="AG214" s="84"/>
      <c r="AH214" s="84"/>
      <c r="AI214" s="84"/>
      <c r="AJ214" s="84"/>
      <c r="AK214" s="84"/>
      <c r="AL214" s="84"/>
      <c r="AM214" s="2"/>
      <c r="AN214" s="2"/>
      <c r="AO214" s="2"/>
      <c r="AP214" s="2"/>
      <c r="AQ214" s="2"/>
      <c r="AT214" s="2"/>
    </row>
    <row r="215" spans="1:46" s="80" customFormat="1" x14ac:dyDescent="0.2">
      <c r="A215" s="83"/>
      <c r="B215" s="129">
        <f>P243</f>
        <v>19</v>
      </c>
      <c r="C215" s="130"/>
      <c r="D215" s="130"/>
      <c r="E215" s="130"/>
      <c r="F215" s="130">
        <f>P250</f>
        <v>17</v>
      </c>
      <c r="G215" s="130"/>
      <c r="H215" s="130"/>
      <c r="I215" s="129">
        <f>P245</f>
        <v>9</v>
      </c>
      <c r="J215" s="129"/>
      <c r="K215" s="130"/>
      <c r="L215" s="129"/>
      <c r="M215" s="129">
        <f>P248</f>
        <v>13</v>
      </c>
      <c r="O215" s="84">
        <v>1</v>
      </c>
      <c r="P215" s="148">
        <f>B182</f>
        <v>4</v>
      </c>
      <c r="Q215" s="84" t="str">
        <f>B181</f>
        <v>Sporting</v>
      </c>
      <c r="R215" s="84">
        <f>IF(C181&lt;&gt;"",1,0)</f>
        <v>1</v>
      </c>
      <c r="S215" s="84">
        <f>IF(C181&gt;E181,1,0)</f>
        <v>1</v>
      </c>
      <c r="T215" s="84">
        <f>R215-S215-U215</f>
        <v>0</v>
      </c>
      <c r="U215" s="84">
        <f>IF(C181&lt;E181,1,0)</f>
        <v>0</v>
      </c>
      <c r="V215" s="84">
        <f>C181</f>
        <v>5</v>
      </c>
      <c r="W215" s="84">
        <f>E181</f>
        <v>0</v>
      </c>
      <c r="X215" s="84">
        <f>V215-W215</f>
        <v>5</v>
      </c>
      <c r="Y215" s="84">
        <f>S215*3+T215</f>
        <v>3</v>
      </c>
      <c r="Z215" s="84">
        <v>1</v>
      </c>
      <c r="AA215" s="84">
        <f>(10^10)*Y215+(10^8)*S215+(10^6)*(50+X215)+(10^4)*V215+(10^2)*R215+(13-P215)</f>
        <v>30155050109</v>
      </c>
      <c r="AB215" s="84">
        <v>1</v>
      </c>
      <c r="AC215" s="84">
        <f>B183</f>
        <v>210659181009</v>
      </c>
      <c r="AD215" s="84">
        <v>1</v>
      </c>
      <c r="AE215" s="84">
        <f>AA215+AC215</f>
        <v>240814231118</v>
      </c>
      <c r="AF215" s="84"/>
      <c r="AG215" s="84"/>
      <c r="AH215" s="84"/>
      <c r="AI215" s="84"/>
      <c r="AJ215" s="84"/>
      <c r="AK215" s="84"/>
      <c r="AL215" s="84"/>
      <c r="AM215" s="84"/>
      <c r="AN215" s="84"/>
      <c r="AO215" s="84"/>
      <c r="AP215" s="2"/>
      <c r="AQ215" s="2"/>
      <c r="AT215" s="2"/>
    </row>
    <row r="216" spans="1:46" s="80" customFormat="1" x14ac:dyDescent="0.2">
      <c r="A216" s="83"/>
      <c r="B216" s="1"/>
      <c r="C216" s="2"/>
      <c r="D216" s="2"/>
      <c r="E216" s="2"/>
      <c r="F216" s="2"/>
      <c r="I216" s="1"/>
      <c r="J216" s="1"/>
      <c r="K216" s="2"/>
      <c r="L216" s="1"/>
      <c r="M216" s="1"/>
      <c r="O216" s="84">
        <v>2</v>
      </c>
      <c r="P216" s="148">
        <f>B185</f>
        <v>9</v>
      </c>
      <c r="Q216" s="84" t="str">
        <f>B184</f>
        <v>Beşiktaş</v>
      </c>
      <c r="R216" s="84">
        <f>IF(C184&lt;&gt;"",1,0)</f>
        <v>1</v>
      </c>
      <c r="S216" s="84">
        <f>IF(C184&gt;E184,1,0)</f>
        <v>1</v>
      </c>
      <c r="T216" s="84">
        <f t="shared" ref="T216:T230" si="4">R216-S216-U216</f>
        <v>0</v>
      </c>
      <c r="U216" s="84">
        <f>IF(C184&lt;E184,1,0)</f>
        <v>0</v>
      </c>
      <c r="V216" s="84">
        <f>C184</f>
        <v>3</v>
      </c>
      <c r="W216" s="84">
        <f>E184</f>
        <v>0</v>
      </c>
      <c r="X216" s="84">
        <f t="shared" ref="X216:X230" si="5">V216-W216</f>
        <v>3</v>
      </c>
      <c r="Y216" s="84">
        <f t="shared" ref="Y216:Y230" si="6">S216*3+T216</f>
        <v>3</v>
      </c>
      <c r="Z216" s="84">
        <v>2</v>
      </c>
      <c r="AA216" s="84">
        <f>(10^10)*Y216+(10^8)*S216+(10^6)*(50+X216)+(10^4)*V216+(10^2)*R216+(13-P216)</f>
        <v>30153030104</v>
      </c>
      <c r="AB216" s="84">
        <v>2</v>
      </c>
      <c r="AC216" s="84">
        <f>B186</f>
        <v>200662201004</v>
      </c>
      <c r="AD216" s="84">
        <v>2</v>
      </c>
      <c r="AE216" s="84">
        <f t="shared" ref="AE216:AE230" si="7">AA216+AC216</f>
        <v>230815231108</v>
      </c>
      <c r="AF216" s="84"/>
      <c r="AG216" s="84"/>
      <c r="AH216" s="84"/>
      <c r="AI216" s="84"/>
      <c r="AJ216" s="84"/>
      <c r="AK216" s="84"/>
      <c r="AL216" s="84"/>
      <c r="AM216" s="84"/>
      <c r="AN216" s="84"/>
      <c r="AO216" s="2"/>
      <c r="AP216" s="2"/>
      <c r="AQ216" s="2"/>
      <c r="AT216" s="2"/>
    </row>
    <row r="217" spans="1:46" s="80" customFormat="1" x14ac:dyDescent="0.2">
      <c r="A217" s="83" t="str">
        <f>IF(L202&lt;&gt;"",VLOOKUP(AL239,$O$233:$Q$240,2),"")</f>
        <v/>
      </c>
      <c r="B217" s="143" t="str">
        <f>Q244</f>
        <v>Sporting</v>
      </c>
      <c r="C217" s="94">
        <v>2</v>
      </c>
      <c r="D217" s="95" t="s">
        <v>20</v>
      </c>
      <c r="E217" s="96">
        <v>1</v>
      </c>
      <c r="F217" s="93" t="str">
        <f>Q249</f>
        <v>Schalke 04</v>
      </c>
      <c r="G217" s="80" t="str">
        <f>IF(L202&lt;&gt;"",VLOOKUP(AL234,$O$233:$Q$240,2),"")</f>
        <v/>
      </c>
      <c r="I217" s="93" t="str">
        <f>Q246</f>
        <v> Atalanta</v>
      </c>
      <c r="J217" s="94">
        <v>1</v>
      </c>
      <c r="K217" s="95" t="s">
        <v>20</v>
      </c>
      <c r="L217" s="96">
        <v>1</v>
      </c>
      <c r="M217" s="143" t="str">
        <f>Q247</f>
        <v>Torino</v>
      </c>
      <c r="O217" s="84">
        <v>3</v>
      </c>
      <c r="P217" s="148">
        <f>B188</f>
        <v>1</v>
      </c>
      <c r="Q217" s="84" t="str">
        <f>B187</f>
        <v> Atalanta</v>
      </c>
      <c r="R217" s="84">
        <f>IF(C187&lt;&gt;"",1,0)</f>
        <v>1</v>
      </c>
      <c r="S217" s="84">
        <f>IF(C187&gt;E187,1,0)</f>
        <v>1</v>
      </c>
      <c r="T217" s="84">
        <f t="shared" si="4"/>
        <v>0</v>
      </c>
      <c r="U217" s="84">
        <f>IF(C187&lt;E187,1,0)</f>
        <v>0</v>
      </c>
      <c r="V217" s="84">
        <f>C187</f>
        <v>2</v>
      </c>
      <c r="W217" s="84">
        <f>E187</f>
        <v>1</v>
      </c>
      <c r="X217" s="84">
        <f t="shared" si="5"/>
        <v>1</v>
      </c>
      <c r="Y217" s="84">
        <f t="shared" si="6"/>
        <v>3</v>
      </c>
      <c r="Z217" s="84">
        <v>3</v>
      </c>
      <c r="AA217" s="84">
        <f t="shared" ref="AA217:AA230" si="8">(10^10)*Y217+(10^8)*S217+(10^6)*(50+X217)+(10^4)*V217+(10^2)*R217+(13-P217)</f>
        <v>30151020112</v>
      </c>
      <c r="AB217" s="84">
        <v>3</v>
      </c>
      <c r="AC217" s="84">
        <f>B189</f>
        <v>200657171012</v>
      </c>
      <c r="AD217" s="84">
        <v>3</v>
      </c>
      <c r="AE217" s="84">
        <f t="shared" si="7"/>
        <v>230808191124</v>
      </c>
      <c r="AF217" s="84"/>
      <c r="AG217" s="84"/>
      <c r="AH217" s="84"/>
      <c r="AI217" s="84"/>
      <c r="AJ217" s="84"/>
      <c r="AK217" s="84"/>
      <c r="AL217" s="84"/>
      <c r="AM217" s="84"/>
      <c r="AN217" s="84"/>
      <c r="AO217" s="2"/>
      <c r="AP217" s="2"/>
      <c r="AQ217" s="2"/>
      <c r="AT217" s="2"/>
    </row>
    <row r="218" spans="1:46" s="80" customFormat="1" x14ac:dyDescent="0.2">
      <c r="A218" s="83"/>
      <c r="B218" s="129">
        <f>P244</f>
        <v>4</v>
      </c>
      <c r="C218" s="130"/>
      <c r="D218" s="130"/>
      <c r="E218" s="130"/>
      <c r="F218" s="130">
        <f>P249</f>
        <v>5</v>
      </c>
      <c r="G218" s="130"/>
      <c r="H218" s="130"/>
      <c r="I218" s="129">
        <f>P246</f>
        <v>1</v>
      </c>
      <c r="J218" s="142">
        <v>1</v>
      </c>
      <c r="K218" s="130"/>
      <c r="L218" s="142">
        <v>3</v>
      </c>
      <c r="M218" s="129">
        <f>P247</f>
        <v>21</v>
      </c>
      <c r="O218" s="84">
        <v>4</v>
      </c>
      <c r="P218" s="148">
        <f>B191</f>
        <v>5</v>
      </c>
      <c r="Q218" s="84" t="str">
        <f>B190</f>
        <v>Schalke 04</v>
      </c>
      <c r="R218" s="84">
        <f>IF(C190&lt;&gt;"",1,0)</f>
        <v>1</v>
      </c>
      <c r="S218" s="84">
        <f>IF(C190&gt;E190,1,0)</f>
        <v>0</v>
      </c>
      <c r="T218" s="84">
        <f t="shared" si="4"/>
        <v>1</v>
      </c>
      <c r="U218" s="84">
        <f>IF(C190&lt;E190,1,0)</f>
        <v>0</v>
      </c>
      <c r="V218" s="84">
        <f>C190</f>
        <v>0</v>
      </c>
      <c r="W218" s="84">
        <f>E190</f>
        <v>0</v>
      </c>
      <c r="X218" s="84">
        <f t="shared" si="5"/>
        <v>0</v>
      </c>
      <c r="Y218" s="84">
        <f t="shared" si="6"/>
        <v>1</v>
      </c>
      <c r="Z218" s="84">
        <v>4</v>
      </c>
      <c r="AA218" s="84">
        <f t="shared" si="8"/>
        <v>10050000108</v>
      </c>
      <c r="AB218" s="84">
        <v>4</v>
      </c>
      <c r="AC218" s="84">
        <f>B192</f>
        <v>170556131008</v>
      </c>
      <c r="AD218" s="84">
        <v>4</v>
      </c>
      <c r="AE218" s="84">
        <f t="shared" si="7"/>
        <v>180606131116</v>
      </c>
      <c r="AF218" s="84"/>
      <c r="AG218" s="84"/>
      <c r="AH218" s="84"/>
      <c r="AI218" s="84"/>
      <c r="AJ218" s="84"/>
      <c r="AK218" s="84"/>
      <c r="AL218" s="84"/>
      <c r="AM218" s="84"/>
      <c r="AN218" s="84"/>
      <c r="AO218" s="2"/>
      <c r="AP218" s="2"/>
      <c r="AQ218" s="2"/>
      <c r="AT218" s="2"/>
    </row>
    <row r="219" spans="1:46" s="80" customFormat="1" x14ac:dyDescent="0.2">
      <c r="A219" s="83"/>
      <c r="B219" s="1"/>
      <c r="C219" s="2"/>
      <c r="D219" s="2"/>
      <c r="E219" s="2"/>
      <c r="F219" s="2"/>
      <c r="I219" s="1"/>
      <c r="J219" s="1"/>
      <c r="K219" s="2"/>
      <c r="L219" s="1"/>
      <c r="M219" s="1"/>
      <c r="O219" s="84">
        <v>5</v>
      </c>
      <c r="P219" s="148">
        <f>I182</f>
        <v>19</v>
      </c>
      <c r="Q219" s="84" t="str">
        <f>I181</f>
        <v>Celta De Vigo</v>
      </c>
      <c r="R219" s="84">
        <f>IF(J181&lt;&gt;"",1,0)</f>
        <v>1</v>
      </c>
      <c r="S219" s="84">
        <f>IF(J181&gt;L181,1,0)</f>
        <v>1</v>
      </c>
      <c r="T219" s="84">
        <f t="shared" si="4"/>
        <v>0</v>
      </c>
      <c r="U219" s="84">
        <f>IF(J181&lt;L181,1,0)</f>
        <v>0</v>
      </c>
      <c r="V219" s="84">
        <f>J181</f>
        <v>3</v>
      </c>
      <c r="W219" s="84">
        <f>L181</f>
        <v>0</v>
      </c>
      <c r="X219" s="84">
        <f t="shared" si="5"/>
        <v>3</v>
      </c>
      <c r="Y219" s="84">
        <f t="shared" si="6"/>
        <v>3</v>
      </c>
      <c r="Z219" s="84">
        <v>5</v>
      </c>
      <c r="AA219" s="84">
        <f t="shared" si="8"/>
        <v>30153030094</v>
      </c>
      <c r="AB219" s="84">
        <v>5</v>
      </c>
      <c r="AC219" s="84">
        <f>I183</f>
        <v>250865191005</v>
      </c>
      <c r="AD219" s="84">
        <v>5</v>
      </c>
      <c r="AE219" s="84">
        <f t="shared" si="7"/>
        <v>281018221099</v>
      </c>
      <c r="AF219" s="84"/>
      <c r="AG219" s="84"/>
      <c r="AH219" s="84"/>
      <c r="AI219" s="84"/>
      <c r="AJ219" s="84"/>
      <c r="AK219" s="84"/>
      <c r="AL219" s="84"/>
      <c r="AM219" s="84"/>
      <c r="AN219" s="84"/>
      <c r="AO219" s="2"/>
      <c r="AP219" s="2"/>
      <c r="AQ219" s="2"/>
      <c r="AT219" s="2"/>
    </row>
    <row r="220" spans="1:46" s="80" customFormat="1" x14ac:dyDescent="0.2">
      <c r="A220" s="83" t="str">
        <f>IF(L202&lt;&gt;"",VLOOKUP(AL238,$O$233:$Q$240,2),"")</f>
        <v/>
      </c>
      <c r="B220" s="1"/>
      <c r="C220" s="1"/>
      <c r="D220" s="98"/>
      <c r="E220" s="99"/>
      <c r="F220" s="1"/>
      <c r="I220" s="1"/>
      <c r="J220" s="1"/>
      <c r="K220" s="98"/>
      <c r="L220" s="99"/>
      <c r="M220" s="1"/>
      <c r="O220" s="84">
        <v>6</v>
      </c>
      <c r="P220" s="148">
        <f>I185</f>
        <v>13</v>
      </c>
      <c r="Q220" s="84" t="str">
        <f>I184</f>
        <v>P S V</v>
      </c>
      <c r="R220" s="84">
        <f>IF(J184&lt;&gt;"",1,0)</f>
        <v>1</v>
      </c>
      <c r="S220" s="84">
        <f>IF(J184&gt;L184,1,0)</f>
        <v>0</v>
      </c>
      <c r="T220" s="84">
        <f t="shared" si="4"/>
        <v>1</v>
      </c>
      <c r="U220" s="84">
        <f>IF(J184&lt;L184,1,0)</f>
        <v>0</v>
      </c>
      <c r="V220" s="84">
        <f>J184</f>
        <v>1</v>
      </c>
      <c r="W220" s="84">
        <f>L184</f>
        <v>1</v>
      </c>
      <c r="X220" s="84">
        <f t="shared" si="5"/>
        <v>0</v>
      </c>
      <c r="Y220" s="84">
        <f t="shared" si="6"/>
        <v>1</v>
      </c>
      <c r="Z220" s="84">
        <v>6</v>
      </c>
      <c r="AA220" s="84">
        <f t="shared" si="8"/>
        <v>10050010100</v>
      </c>
      <c r="AB220" s="84">
        <v>6</v>
      </c>
      <c r="AC220" s="84">
        <f>I186</f>
        <v>190653121011</v>
      </c>
      <c r="AD220" s="84">
        <v>6</v>
      </c>
      <c r="AE220" s="84">
        <f t="shared" si="7"/>
        <v>200703131111</v>
      </c>
      <c r="AF220" s="84"/>
      <c r="AG220" s="84"/>
      <c r="AH220" s="84"/>
      <c r="AI220" s="84"/>
      <c r="AJ220" s="84"/>
      <c r="AK220" s="84"/>
      <c r="AL220" s="84"/>
      <c r="AM220" s="84"/>
      <c r="AN220" s="84"/>
      <c r="AO220" s="2"/>
      <c r="AP220" s="2"/>
      <c r="AQ220" s="2"/>
      <c r="AT220" s="2"/>
    </row>
    <row r="221" spans="1:46" s="80" customFormat="1" hidden="1" x14ac:dyDescent="0.2">
      <c r="A221" s="83"/>
      <c r="B221" s="1"/>
      <c r="C221" s="2"/>
      <c r="D221" s="2"/>
      <c r="E221" s="2"/>
      <c r="F221" s="2"/>
      <c r="I221" s="1"/>
      <c r="J221" s="1"/>
      <c r="K221" s="2"/>
      <c r="L221" s="1"/>
      <c r="M221" s="1"/>
      <c r="O221" s="84">
        <v>7</v>
      </c>
      <c r="P221" s="148">
        <f>I188</f>
        <v>14</v>
      </c>
      <c r="Q221" s="84" t="str">
        <f>I187</f>
        <v>Crystal Palace</v>
      </c>
      <c r="R221" s="84">
        <f>IF(J187&lt;&gt;"",1,0)</f>
        <v>1</v>
      </c>
      <c r="S221" s="84">
        <f>IF(J187&gt;L187,1,0)</f>
        <v>0</v>
      </c>
      <c r="T221" s="84">
        <f t="shared" si="4"/>
        <v>0</v>
      </c>
      <c r="U221" s="84">
        <f>IF(J187&lt;L187,1,0)</f>
        <v>1</v>
      </c>
      <c r="V221" s="84">
        <f>J187</f>
        <v>0</v>
      </c>
      <c r="W221" s="84">
        <f>L187</f>
        <v>2</v>
      </c>
      <c r="X221" s="84">
        <f t="shared" si="5"/>
        <v>-2</v>
      </c>
      <c r="Y221" s="84">
        <f t="shared" si="6"/>
        <v>0</v>
      </c>
      <c r="Z221" s="84">
        <v>7</v>
      </c>
      <c r="AA221" s="84">
        <f t="shared" si="8"/>
        <v>48000099</v>
      </c>
      <c r="AB221" s="84">
        <v>7</v>
      </c>
      <c r="AC221" s="84">
        <f>I189</f>
        <v>190554071010</v>
      </c>
      <c r="AD221" s="84">
        <v>7</v>
      </c>
      <c r="AE221" s="84">
        <f t="shared" si="7"/>
        <v>190602071109</v>
      </c>
      <c r="AF221" s="84"/>
      <c r="AG221" s="84"/>
      <c r="AH221" s="84"/>
      <c r="AI221" s="84"/>
      <c r="AJ221" s="84"/>
      <c r="AK221" s="84"/>
      <c r="AL221" s="84"/>
      <c r="AM221" s="84"/>
      <c r="AN221" s="84"/>
      <c r="AO221" s="2"/>
      <c r="AP221" s="2"/>
      <c r="AQ221" s="2"/>
      <c r="AT221" s="2"/>
    </row>
    <row r="222" spans="1:46" s="80" customFormat="1" hidden="1" x14ac:dyDescent="0.2">
      <c r="A222" s="83"/>
      <c r="B222" s="1"/>
      <c r="C222" s="2"/>
      <c r="D222" s="2"/>
      <c r="E222" s="2"/>
      <c r="F222" s="2"/>
      <c r="I222" s="1"/>
      <c r="J222" s="1"/>
      <c r="K222" s="2"/>
      <c r="L222" s="1"/>
      <c r="M222" s="1"/>
      <c r="O222" s="84">
        <v>8</v>
      </c>
      <c r="P222" s="148">
        <f>I191</f>
        <v>21</v>
      </c>
      <c r="Q222" s="84" t="str">
        <f>I190</f>
        <v>Torino</v>
      </c>
      <c r="R222" s="84">
        <f>IF(J190&lt;&gt;"",1,0)</f>
        <v>1</v>
      </c>
      <c r="S222" s="84">
        <f>IF(J190&gt;L190,1,0)</f>
        <v>1</v>
      </c>
      <c r="T222" s="84">
        <f t="shared" si="4"/>
        <v>0</v>
      </c>
      <c r="U222" s="84">
        <f>IF(J190&lt;L190,1,0)</f>
        <v>0</v>
      </c>
      <c r="V222" s="84">
        <f>J190</f>
        <v>2</v>
      </c>
      <c r="W222" s="84">
        <f>L190</f>
        <v>0</v>
      </c>
      <c r="X222" s="84">
        <f t="shared" si="5"/>
        <v>2</v>
      </c>
      <c r="Y222" s="84">
        <f t="shared" si="6"/>
        <v>3</v>
      </c>
      <c r="Z222" s="84">
        <v>8</v>
      </c>
      <c r="AA222" s="84">
        <f t="shared" si="8"/>
        <v>30152020092</v>
      </c>
      <c r="AB222" s="84">
        <v>8</v>
      </c>
      <c r="AC222" s="84">
        <f>I192</f>
        <v>170554161003</v>
      </c>
      <c r="AD222" s="84">
        <v>8</v>
      </c>
      <c r="AE222" s="84">
        <f t="shared" si="7"/>
        <v>200706181095</v>
      </c>
      <c r="AF222" s="84"/>
      <c r="AG222" s="84"/>
      <c r="AH222" s="84"/>
      <c r="AI222" s="84"/>
      <c r="AJ222" s="84"/>
      <c r="AK222" s="84"/>
      <c r="AL222" s="84"/>
      <c r="AM222" s="84"/>
      <c r="AN222" s="84"/>
      <c r="AO222" s="2"/>
      <c r="AP222" s="2"/>
      <c r="AQ222" s="2"/>
      <c r="AT222" s="2"/>
    </row>
    <row r="223" spans="1:46" s="80" customFormat="1" hidden="1" x14ac:dyDescent="0.2">
      <c r="A223" s="83" t="str">
        <f>IF(L202&lt;&gt;"",VLOOKUP(AL237,$O$233:$Q$240,2),"")</f>
        <v/>
      </c>
      <c r="B223" s="1"/>
      <c r="C223" s="1"/>
      <c r="D223" s="98"/>
      <c r="E223" s="99"/>
      <c r="F223" s="1"/>
      <c r="I223" s="1"/>
      <c r="J223" s="1"/>
      <c r="K223" s="98"/>
      <c r="L223" s="99"/>
      <c r="M223" s="1"/>
      <c r="O223" s="84">
        <v>9</v>
      </c>
      <c r="P223" s="148">
        <f>M191</f>
        <v>16</v>
      </c>
      <c r="Q223" s="84" t="str">
        <f>M190</f>
        <v>Villarreal</v>
      </c>
      <c r="R223" s="84">
        <f>IF(L190&lt;&gt;"",1,0)</f>
        <v>1</v>
      </c>
      <c r="S223" s="84">
        <f>IF(L190&gt;J190,1,0)</f>
        <v>0</v>
      </c>
      <c r="T223" s="84">
        <f t="shared" si="4"/>
        <v>0</v>
      </c>
      <c r="U223" s="84">
        <f>IF(L190&lt;J190,1,0)</f>
        <v>1</v>
      </c>
      <c r="V223" s="84">
        <f>L190</f>
        <v>0</v>
      </c>
      <c r="W223" s="84">
        <f>J190</f>
        <v>2</v>
      </c>
      <c r="X223" s="84">
        <f t="shared" si="5"/>
        <v>-2</v>
      </c>
      <c r="Y223" s="84">
        <f t="shared" si="6"/>
        <v>0</v>
      </c>
      <c r="Z223" s="84">
        <v>9</v>
      </c>
      <c r="AA223" s="84">
        <f t="shared" si="8"/>
        <v>48000097</v>
      </c>
      <c r="AB223" s="84">
        <v>9</v>
      </c>
      <c r="AC223" s="84">
        <f>M192</f>
        <v>150450091008</v>
      </c>
      <c r="AD223" s="84">
        <v>9</v>
      </c>
      <c r="AE223" s="84">
        <f t="shared" si="7"/>
        <v>150498091105</v>
      </c>
      <c r="AF223" s="84"/>
      <c r="AG223" s="84"/>
      <c r="AH223" s="84"/>
      <c r="AI223" s="84"/>
      <c r="AJ223" s="84"/>
      <c r="AK223" s="84"/>
      <c r="AL223" s="84"/>
      <c r="AM223" s="84"/>
      <c r="AN223" s="84"/>
      <c r="AO223" s="2"/>
      <c r="AP223" s="2"/>
      <c r="AQ223" s="2"/>
      <c r="AT223" s="2"/>
    </row>
    <row r="224" spans="1:46" s="80" customFormat="1" hidden="1" x14ac:dyDescent="0.2">
      <c r="A224" s="83"/>
      <c r="B224" s="1"/>
      <c r="C224" s="2"/>
      <c r="D224" s="2"/>
      <c r="E224" s="2"/>
      <c r="F224" s="2"/>
      <c r="I224" s="1"/>
      <c r="J224" s="1"/>
      <c r="K224" s="2"/>
      <c r="L224" s="1"/>
      <c r="M224" s="1"/>
      <c r="O224" s="84">
        <v>10</v>
      </c>
      <c r="P224" s="148">
        <f>M188</f>
        <v>17</v>
      </c>
      <c r="Q224" s="84" t="str">
        <f>M187</f>
        <v>R B Leipzig</v>
      </c>
      <c r="R224" s="84">
        <f>IF(L187&lt;&gt;"",1,0)</f>
        <v>1</v>
      </c>
      <c r="S224" s="84">
        <f>IF(L187&gt;J187,1,0)</f>
        <v>1</v>
      </c>
      <c r="T224" s="84">
        <f t="shared" si="4"/>
        <v>0</v>
      </c>
      <c r="U224" s="84">
        <f>IF(L187&lt;J187,1,0)</f>
        <v>0</v>
      </c>
      <c r="V224" s="84">
        <f>L187</f>
        <v>2</v>
      </c>
      <c r="W224" s="84">
        <f>J187</f>
        <v>0</v>
      </c>
      <c r="X224" s="84">
        <f t="shared" si="5"/>
        <v>2</v>
      </c>
      <c r="Y224" s="84">
        <f t="shared" si="6"/>
        <v>3</v>
      </c>
      <c r="Z224" s="84">
        <v>10</v>
      </c>
      <c r="AA224" s="84">
        <f t="shared" si="8"/>
        <v>30152020096</v>
      </c>
      <c r="AB224" s="84">
        <v>10</v>
      </c>
      <c r="AC224" s="84">
        <f>M189</f>
        <v>150447121007</v>
      </c>
      <c r="AD224" s="84">
        <v>10</v>
      </c>
      <c r="AE224" s="84">
        <f t="shared" si="7"/>
        <v>180599141103</v>
      </c>
      <c r="AF224" s="84"/>
      <c r="AG224" s="84"/>
      <c r="AH224" s="84"/>
      <c r="AI224" s="84"/>
      <c r="AJ224" s="84"/>
      <c r="AK224" s="84"/>
      <c r="AL224" s="84"/>
      <c r="AM224" s="84"/>
      <c r="AN224" s="84"/>
      <c r="AO224" s="2"/>
      <c r="AP224" s="2"/>
      <c r="AQ224" s="2"/>
      <c r="AT224" s="2"/>
    </row>
    <row r="225" spans="1:46" s="80" customFormat="1" x14ac:dyDescent="0.2">
      <c r="A225" s="83"/>
      <c r="B225" s="1"/>
      <c r="C225" s="2"/>
      <c r="D225" s="2"/>
      <c r="E225" s="2"/>
      <c r="F225" s="2"/>
      <c r="I225" s="1"/>
      <c r="J225" s="1"/>
      <c r="K225" s="2"/>
      <c r="L225" s="1"/>
      <c r="M225" s="1"/>
      <c r="O225" s="84">
        <v>11</v>
      </c>
      <c r="P225" s="148">
        <f>M185</f>
        <v>12</v>
      </c>
      <c r="Q225" s="84" t="str">
        <f>M184</f>
        <v>Sevilla</v>
      </c>
      <c r="R225" s="84">
        <f>IF(L184&lt;&gt;"",1,0)</f>
        <v>1</v>
      </c>
      <c r="S225" s="84">
        <f>IF(L184&gt;J184,1,0)</f>
        <v>0</v>
      </c>
      <c r="T225" s="84">
        <f t="shared" si="4"/>
        <v>1</v>
      </c>
      <c r="U225" s="84">
        <f>IF(L184&lt;J184,1,0)</f>
        <v>0</v>
      </c>
      <c r="V225" s="84">
        <f>L184</f>
        <v>1</v>
      </c>
      <c r="W225" s="84">
        <f>J184</f>
        <v>1</v>
      </c>
      <c r="X225" s="84">
        <f t="shared" si="5"/>
        <v>0</v>
      </c>
      <c r="Y225" s="84">
        <f t="shared" si="6"/>
        <v>1</v>
      </c>
      <c r="Z225" s="84">
        <v>11</v>
      </c>
      <c r="AA225" s="84">
        <f t="shared" si="8"/>
        <v>10050010101</v>
      </c>
      <c r="AB225" s="84">
        <v>11</v>
      </c>
      <c r="AC225" s="84">
        <f>M186</f>
        <v>110347131012</v>
      </c>
      <c r="AD225" s="84">
        <v>11</v>
      </c>
      <c r="AE225" s="84">
        <f t="shared" si="7"/>
        <v>120397141113</v>
      </c>
      <c r="AF225" s="84"/>
      <c r="AG225" s="84"/>
      <c r="AH225" s="84"/>
      <c r="AI225" s="84"/>
      <c r="AJ225" s="84"/>
      <c r="AK225" s="84"/>
      <c r="AL225" s="84"/>
      <c r="AM225" s="2"/>
      <c r="AN225" s="84"/>
      <c r="AO225" s="2"/>
      <c r="AP225" s="2"/>
      <c r="AQ225" s="2"/>
      <c r="AT225" s="2"/>
    </row>
    <row r="226" spans="1:46" s="80" customFormat="1" x14ac:dyDescent="0.2">
      <c r="A226" s="83"/>
      <c r="B226" s="1"/>
      <c r="C226" s="2"/>
      <c r="D226" s="2"/>
      <c r="E226" s="2"/>
      <c r="F226" s="2"/>
      <c r="G226" s="2"/>
      <c r="H226" s="2"/>
      <c r="I226" s="1"/>
      <c r="J226" s="1"/>
      <c r="K226" s="2"/>
      <c r="L226" s="1"/>
      <c r="M226" s="1"/>
      <c r="O226" s="84">
        <v>12</v>
      </c>
      <c r="P226" s="148">
        <f>M182</f>
        <v>15</v>
      </c>
      <c r="Q226" s="84" t="str">
        <f>M181</f>
        <v>Borussia M</v>
      </c>
      <c r="R226" s="84">
        <f>IF(L181&lt;&gt;"",1,0)</f>
        <v>1</v>
      </c>
      <c r="S226" s="84">
        <f>IF(L181&gt;J181,1,0)</f>
        <v>0</v>
      </c>
      <c r="T226" s="84">
        <f t="shared" si="4"/>
        <v>0</v>
      </c>
      <c r="U226" s="84">
        <f>IF(L181&lt;J181,1,0)</f>
        <v>1</v>
      </c>
      <c r="V226" s="84">
        <f>L181</f>
        <v>0</v>
      </c>
      <c r="W226" s="84">
        <f>J181</f>
        <v>3</v>
      </c>
      <c r="X226" s="84">
        <f t="shared" si="5"/>
        <v>-3</v>
      </c>
      <c r="Y226" s="84">
        <f t="shared" si="6"/>
        <v>0</v>
      </c>
      <c r="Z226" s="84">
        <v>12</v>
      </c>
      <c r="AA226" s="84">
        <f t="shared" si="8"/>
        <v>47000098</v>
      </c>
      <c r="AB226" s="84">
        <v>12</v>
      </c>
      <c r="AC226" s="84">
        <f>M183</f>
        <v>110248081009</v>
      </c>
      <c r="AD226" s="84">
        <v>12</v>
      </c>
      <c r="AE226" s="84">
        <f>AA226+AC226</f>
        <v>110295081107</v>
      </c>
      <c r="AF226" s="84"/>
      <c r="AG226" s="84"/>
      <c r="AH226" s="84"/>
      <c r="AI226" s="84"/>
      <c r="AJ226" s="84"/>
      <c r="AK226" s="84"/>
      <c r="AL226" s="84"/>
      <c r="AM226" s="2"/>
      <c r="AN226" s="2"/>
      <c r="AO226" s="2"/>
      <c r="AP226" s="2"/>
      <c r="AQ226" s="2"/>
      <c r="AT226" s="2"/>
    </row>
    <row r="227" spans="1:46" s="80" customFormat="1" x14ac:dyDescent="0.2">
      <c r="A227" s="83"/>
      <c r="B227" s="1"/>
      <c r="C227" s="2"/>
      <c r="D227" s="2"/>
      <c r="E227" s="2"/>
      <c r="F227" s="2"/>
      <c r="G227" s="2"/>
      <c r="H227" s="2"/>
      <c r="I227" s="1"/>
      <c r="J227" s="1"/>
      <c r="K227" s="2"/>
      <c r="L227" s="1"/>
      <c r="M227" s="1"/>
      <c r="O227" s="84">
        <v>13</v>
      </c>
      <c r="P227" s="148">
        <f>F191</f>
        <v>2</v>
      </c>
      <c r="Q227" s="84" t="str">
        <f>F190</f>
        <v>Hoffenheim</v>
      </c>
      <c r="R227" s="84">
        <f>IF(E190&lt;&gt;"",1,0)</f>
        <v>1</v>
      </c>
      <c r="S227" s="84">
        <f>IF(E190&gt;C190,1,0)</f>
        <v>0</v>
      </c>
      <c r="T227" s="84">
        <f t="shared" si="4"/>
        <v>1</v>
      </c>
      <c r="U227" s="84">
        <f>IF(E190&lt;C190,1,0)</f>
        <v>0</v>
      </c>
      <c r="V227" s="84">
        <f>E190</f>
        <v>0</v>
      </c>
      <c r="W227" s="84">
        <f>C181</f>
        <v>5</v>
      </c>
      <c r="X227" s="84">
        <f t="shared" si="5"/>
        <v>-5</v>
      </c>
      <c r="Y227" s="84">
        <f t="shared" si="6"/>
        <v>1</v>
      </c>
      <c r="Z227" s="84">
        <v>13</v>
      </c>
      <c r="AA227" s="84">
        <f t="shared" si="8"/>
        <v>10045000111</v>
      </c>
      <c r="AB227" s="84">
        <v>13</v>
      </c>
      <c r="AC227" s="84">
        <f>F192</f>
        <v>110346101011</v>
      </c>
      <c r="AD227" s="84">
        <v>13</v>
      </c>
      <c r="AE227" s="84">
        <f t="shared" si="7"/>
        <v>120391101122</v>
      </c>
      <c r="AF227" s="84"/>
      <c r="AG227" s="84"/>
      <c r="AH227" s="84"/>
      <c r="AI227" s="84"/>
      <c r="AJ227" s="84"/>
      <c r="AK227" s="84"/>
      <c r="AL227" s="84"/>
      <c r="AM227" s="2"/>
      <c r="AN227" s="2"/>
      <c r="AO227" s="2"/>
      <c r="AP227" s="2"/>
      <c r="AQ227" s="2"/>
      <c r="AR227" s="2"/>
      <c r="AS227" s="2"/>
      <c r="AT227" s="2"/>
    </row>
    <row r="228" spans="1:46" s="80" customFormat="1" ht="15.75" x14ac:dyDescent="0.25">
      <c r="A228" s="83"/>
      <c r="B228" s="1"/>
      <c r="C228" s="2"/>
      <c r="D228" s="2"/>
      <c r="E228" s="2"/>
      <c r="F228" s="2"/>
      <c r="G228" s="166" t="s">
        <v>66</v>
      </c>
      <c r="H228" s="167"/>
      <c r="I228" s="1"/>
      <c r="J228" s="1"/>
      <c r="K228" s="2"/>
      <c r="L228" s="1"/>
      <c r="M228" s="1"/>
      <c r="O228" s="84">
        <v>14</v>
      </c>
      <c r="P228" s="148">
        <f>F188</f>
        <v>3</v>
      </c>
      <c r="Q228" s="84" t="str">
        <f>F187</f>
        <v>Real Sociedad</v>
      </c>
      <c r="R228" s="84">
        <f>IF(E187&lt;&gt;"",1,0)</f>
        <v>1</v>
      </c>
      <c r="S228" s="84">
        <f>IF(E187&gt;C187,1,0)</f>
        <v>0</v>
      </c>
      <c r="T228" s="84">
        <f t="shared" si="4"/>
        <v>0</v>
      </c>
      <c r="U228" s="84">
        <f>IF(E187&lt;C187,1,0)</f>
        <v>1</v>
      </c>
      <c r="V228" s="84">
        <f>E187</f>
        <v>1</v>
      </c>
      <c r="W228" s="84">
        <f>C190</f>
        <v>0</v>
      </c>
      <c r="X228" s="84">
        <f t="shared" si="5"/>
        <v>1</v>
      </c>
      <c r="Y228" s="84">
        <f t="shared" si="6"/>
        <v>0</v>
      </c>
      <c r="Z228" s="84">
        <v>14</v>
      </c>
      <c r="AA228" s="84">
        <f t="shared" si="8"/>
        <v>51010110</v>
      </c>
      <c r="AB228" s="84">
        <v>14</v>
      </c>
      <c r="AC228" s="84">
        <f>F189</f>
        <v>90242071010</v>
      </c>
      <c r="AD228" s="84">
        <v>14</v>
      </c>
      <c r="AE228" s="84">
        <f t="shared" si="7"/>
        <v>90293081120</v>
      </c>
      <c r="AF228" s="84"/>
      <c r="AG228" s="84"/>
      <c r="AH228" s="84"/>
      <c r="AI228" s="84"/>
      <c r="AJ228" s="84"/>
      <c r="AK228" s="84"/>
      <c r="AL228" s="84"/>
      <c r="AM228" s="2"/>
      <c r="AN228" s="2"/>
      <c r="AO228" s="2"/>
      <c r="AP228" s="2"/>
      <c r="AQ228" s="2"/>
      <c r="AR228" s="2"/>
      <c r="AS228" s="2"/>
      <c r="AT228" s="2"/>
    </row>
    <row r="229" spans="1:46" s="80" customFormat="1" x14ac:dyDescent="0.2">
      <c r="A229" s="83"/>
      <c r="B229" s="1"/>
      <c r="C229" s="2"/>
      <c r="D229" s="2"/>
      <c r="E229" s="2"/>
      <c r="F229" s="2"/>
      <c r="G229" s="2"/>
      <c r="H229" s="2"/>
      <c r="I229" s="1"/>
      <c r="J229" s="1"/>
      <c r="K229" s="2"/>
      <c r="L229" s="1"/>
      <c r="M229" s="1"/>
      <c r="O229" s="84">
        <v>15</v>
      </c>
      <c r="P229" s="148">
        <f>F185</f>
        <v>10</v>
      </c>
      <c r="Q229" s="84" t="str">
        <f>F184</f>
        <v>West Ham</v>
      </c>
      <c r="R229" s="84">
        <f>IF(E184&lt;&gt;"",1,0)</f>
        <v>1</v>
      </c>
      <c r="S229" s="84">
        <f>IF(E184&gt;C184,1,0)</f>
        <v>0</v>
      </c>
      <c r="T229" s="84">
        <f t="shared" si="4"/>
        <v>0</v>
      </c>
      <c r="U229" s="84">
        <f>IF(E184&lt;C184,1,0)</f>
        <v>1</v>
      </c>
      <c r="V229" s="84">
        <f>E184</f>
        <v>0</v>
      </c>
      <c r="W229" s="84">
        <f>C187</f>
        <v>2</v>
      </c>
      <c r="X229" s="84">
        <f t="shared" si="5"/>
        <v>-2</v>
      </c>
      <c r="Y229" s="84">
        <f t="shared" si="6"/>
        <v>0</v>
      </c>
      <c r="Z229" s="84">
        <v>15</v>
      </c>
      <c r="AA229" s="84">
        <f t="shared" si="8"/>
        <v>48000103</v>
      </c>
      <c r="AB229" s="84">
        <v>15</v>
      </c>
      <c r="AC229" s="84">
        <f>F186</f>
        <v>80147101003</v>
      </c>
      <c r="AD229" s="84">
        <v>15</v>
      </c>
      <c r="AE229" s="84">
        <f t="shared" si="7"/>
        <v>80195101106</v>
      </c>
      <c r="AF229" s="84"/>
      <c r="AG229" s="84"/>
      <c r="AH229" s="84"/>
      <c r="AI229" s="84"/>
      <c r="AJ229" s="84"/>
      <c r="AK229" s="84"/>
      <c r="AL229" s="84"/>
      <c r="AM229" s="2"/>
      <c r="AN229" s="2"/>
      <c r="AO229" s="2"/>
      <c r="AP229" s="2"/>
      <c r="AQ229" s="2"/>
      <c r="AR229" s="2"/>
      <c r="AS229" s="2"/>
      <c r="AT229" s="2"/>
    </row>
    <row r="230" spans="1:46" s="80" customFormat="1" ht="15.75" customHeight="1" x14ac:dyDescent="0.2">
      <c r="A230" s="84"/>
      <c r="B230" s="1"/>
      <c r="C230" s="2"/>
      <c r="D230" s="2"/>
      <c r="E230" s="2"/>
      <c r="F230" s="2"/>
      <c r="I230" s="1"/>
      <c r="J230" s="1"/>
      <c r="K230" s="2"/>
      <c r="L230" s="1"/>
      <c r="M230" s="1"/>
      <c r="O230" s="84">
        <v>16</v>
      </c>
      <c r="P230" s="148">
        <f>F182</f>
        <v>11</v>
      </c>
      <c r="Q230" s="84" t="str">
        <f>F181</f>
        <v>Olympique</v>
      </c>
      <c r="R230" s="84">
        <f>IF(E181&lt;&gt;"",1,0)</f>
        <v>1</v>
      </c>
      <c r="S230" s="84">
        <f>IF(E181&gt;C181,1,0)</f>
        <v>0</v>
      </c>
      <c r="T230" s="84">
        <f t="shared" si="4"/>
        <v>0</v>
      </c>
      <c r="U230" s="84">
        <f>IF(E181&lt;C181,1,0)</f>
        <v>1</v>
      </c>
      <c r="V230" s="84">
        <f>E181</f>
        <v>0</v>
      </c>
      <c r="W230" s="84">
        <f>C184</f>
        <v>3</v>
      </c>
      <c r="X230" s="84">
        <f t="shared" si="5"/>
        <v>-3</v>
      </c>
      <c r="Y230" s="84">
        <f t="shared" si="6"/>
        <v>0</v>
      </c>
      <c r="Z230" s="84">
        <v>16</v>
      </c>
      <c r="AA230" s="84">
        <f t="shared" si="8"/>
        <v>47000102</v>
      </c>
      <c r="AB230" s="84">
        <v>16</v>
      </c>
      <c r="AC230" s="84">
        <f>F183</f>
        <v>70241031002</v>
      </c>
      <c r="AD230" s="84">
        <v>16</v>
      </c>
      <c r="AE230" s="84">
        <f t="shared" si="7"/>
        <v>70288031104</v>
      </c>
      <c r="AF230" s="84"/>
      <c r="AG230" s="84"/>
      <c r="AH230" s="84"/>
      <c r="AI230" s="84"/>
      <c r="AJ230" s="84"/>
      <c r="AK230" s="84"/>
      <c r="AL230" s="84"/>
      <c r="AM230" s="2"/>
      <c r="AN230" s="2"/>
      <c r="AO230" s="2"/>
      <c r="AP230" s="2"/>
      <c r="AQ230" s="2"/>
      <c r="AR230" s="2"/>
      <c r="AS230" s="2"/>
      <c r="AT230" s="2"/>
    </row>
    <row r="231" spans="1:46" s="80" customFormat="1" x14ac:dyDescent="0.2">
      <c r="A231" s="83"/>
      <c r="B231" s="1"/>
      <c r="C231" s="2"/>
      <c r="D231" s="2"/>
      <c r="E231" s="2"/>
      <c r="F231" s="2"/>
      <c r="I231" s="1"/>
      <c r="J231" s="1"/>
      <c r="K231" s="2"/>
      <c r="L231" s="1"/>
      <c r="M231" s="1"/>
      <c r="O231" s="84"/>
      <c r="P231" s="84"/>
      <c r="Q231" s="84"/>
      <c r="R231" s="84"/>
      <c r="S231" s="84"/>
      <c r="T231" s="84" t="s">
        <v>34</v>
      </c>
      <c r="U231" s="84"/>
      <c r="V231" s="84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J231" s="84"/>
      <c r="AK231" s="84"/>
      <c r="AL231" s="84"/>
      <c r="AM231" s="84"/>
      <c r="AN231" s="84"/>
      <c r="AO231" s="84"/>
      <c r="AP231" s="84"/>
      <c r="AQ231" s="84"/>
      <c r="AR231" s="84"/>
      <c r="AS231" s="84"/>
      <c r="AT231" s="2"/>
    </row>
    <row r="232" spans="1:46" s="80" customFormat="1" x14ac:dyDescent="0.2">
      <c r="A232" s="83" t="str">
        <f>IF(L223&lt;&gt;"",P268,"")</f>
        <v/>
      </c>
      <c r="B232" s="143" t="str">
        <f>Q260</f>
        <v>Celta De Vigo</v>
      </c>
      <c r="C232" s="94">
        <v>1</v>
      </c>
      <c r="D232" s="95" t="s">
        <v>20</v>
      </c>
      <c r="E232" s="96">
        <v>0</v>
      </c>
      <c r="F232" s="93" t="str">
        <f>Q263</f>
        <v>Torino</v>
      </c>
      <c r="I232" s="143" t="str">
        <f>Q261</f>
        <v>Sporting</v>
      </c>
      <c r="J232" s="94">
        <v>1</v>
      </c>
      <c r="K232" s="95"/>
      <c r="L232" s="96">
        <v>1</v>
      </c>
      <c r="M232" s="93" t="str">
        <f>Q262</f>
        <v>Beşiktaş</v>
      </c>
      <c r="O232" s="2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  <c r="AL232" s="84"/>
      <c r="AM232" s="84"/>
      <c r="AN232" s="84"/>
      <c r="AO232" s="84"/>
      <c r="AP232" s="84"/>
      <c r="AQ232" s="84"/>
      <c r="AR232" s="84"/>
      <c r="AS232" s="84"/>
      <c r="AT232" s="2"/>
    </row>
    <row r="233" spans="1:46" s="80" customFormat="1" x14ac:dyDescent="0.2">
      <c r="A233" s="83"/>
      <c r="B233" s="129">
        <f>P260</f>
        <v>19</v>
      </c>
      <c r="C233" s="130"/>
      <c r="D233" s="130"/>
      <c r="E233" s="130"/>
      <c r="F233" s="130">
        <f>P263</f>
        <v>21</v>
      </c>
      <c r="G233" s="130"/>
      <c r="H233" s="130"/>
      <c r="I233" s="129">
        <f>P261</f>
        <v>4</v>
      </c>
      <c r="J233" s="142">
        <v>4</v>
      </c>
      <c r="K233" s="130"/>
      <c r="L233" s="142">
        <v>3</v>
      </c>
      <c r="M233" s="129">
        <f>P262</f>
        <v>9</v>
      </c>
      <c r="O233" s="84">
        <v>1</v>
      </c>
      <c r="P233" s="84">
        <f>IF(C181+C182&gt;=E181+E182,B182,F182)</f>
        <v>4</v>
      </c>
      <c r="Q233" s="84" t="str">
        <f>IF(C181+C182&gt;E181+E182,B181,F181)</f>
        <v>Sporting</v>
      </c>
      <c r="R233" s="84">
        <f>IF(C181+C182&gt;=E181+E182,AE215,AE230)</f>
        <v>240814231118</v>
      </c>
      <c r="S233" s="84"/>
      <c r="T233" s="84">
        <v>1</v>
      </c>
      <c r="U233" s="84">
        <f>LARGE($R233:$R240,T233)</f>
        <v>281018221099</v>
      </c>
      <c r="V233" s="84"/>
      <c r="W233" s="84">
        <f>MATCH(U233,R233:R240,0)</f>
        <v>8</v>
      </c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  <c r="AL233" s="84"/>
      <c r="AM233" s="84"/>
      <c r="AN233" s="84"/>
      <c r="AO233" s="84"/>
      <c r="AP233" s="84"/>
      <c r="AQ233" s="84"/>
      <c r="AR233" s="84"/>
      <c r="AS233" s="84"/>
      <c r="AT233" s="2"/>
    </row>
    <row r="234" spans="1:46" s="80" customFormat="1" x14ac:dyDescent="0.2">
      <c r="A234" s="83"/>
      <c r="B234" s="1"/>
      <c r="C234" s="2"/>
      <c r="D234" s="2"/>
      <c r="E234" s="2"/>
      <c r="F234" s="2"/>
      <c r="I234" s="1"/>
      <c r="J234" s="1"/>
      <c r="K234" s="2"/>
      <c r="L234" s="1"/>
      <c r="M234" s="1"/>
      <c r="O234" s="84">
        <v>2</v>
      </c>
      <c r="P234" s="84">
        <f>IF(C184+C185&gt;=E184+E185,B185,F185)</f>
        <v>9</v>
      </c>
      <c r="Q234" s="84" t="str">
        <f>IF(C184+C185&gt;E184+E185,B184,F184)</f>
        <v>Beşiktaş</v>
      </c>
      <c r="R234" s="84">
        <f>IF(C184+C185&gt;=E184+E185,AE216,AE229)</f>
        <v>230815231108</v>
      </c>
      <c r="S234" s="84"/>
      <c r="T234" s="84">
        <v>2</v>
      </c>
      <c r="U234" s="84">
        <f>LARGE($R233:$R240,T234)</f>
        <v>240814231118</v>
      </c>
      <c r="V234" s="84"/>
      <c r="W234" s="84">
        <f>MATCH(U234,R233:R240,0)</f>
        <v>1</v>
      </c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  <c r="AL234" s="84"/>
      <c r="AM234" s="84"/>
      <c r="AN234" s="84"/>
      <c r="AO234" s="84"/>
      <c r="AP234" s="84"/>
      <c r="AQ234" s="84"/>
      <c r="AR234" s="84"/>
      <c r="AS234" s="84"/>
      <c r="AT234" s="2"/>
    </row>
    <row r="235" spans="1:46" s="80" customFormat="1" hidden="1" x14ac:dyDescent="0.2">
      <c r="A235" s="83" t="str">
        <f>IF(L223&lt;&gt;"",P267,"")</f>
        <v/>
      </c>
      <c r="B235" s="1"/>
      <c r="C235" s="1"/>
      <c r="D235" s="98"/>
      <c r="E235" s="99"/>
      <c r="F235" s="1"/>
      <c r="I235" s="1"/>
      <c r="J235" s="1"/>
      <c r="K235" s="98"/>
      <c r="L235" s="99"/>
      <c r="M235" s="1"/>
      <c r="O235" s="84">
        <v>3</v>
      </c>
      <c r="P235" s="84">
        <f>IF(C187+C188&gt;=E2522+E188,B188,F188)</f>
        <v>1</v>
      </c>
      <c r="Q235" s="84" t="str">
        <f>IF(C187+C188&gt;E2522+E188,B187,F187)</f>
        <v> Atalanta</v>
      </c>
      <c r="R235" s="84">
        <f>IF(C187+C188&gt;=E2522+E188,AE217,AE228)</f>
        <v>230808191124</v>
      </c>
      <c r="S235" s="84"/>
      <c r="T235" s="84">
        <v>3</v>
      </c>
      <c r="U235" s="84">
        <f>LARGE($R233:$R240,T235)</f>
        <v>230815231108</v>
      </c>
      <c r="V235" s="84"/>
      <c r="W235" s="84">
        <f>MATCH(U235,R233:R240,0)</f>
        <v>2</v>
      </c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84"/>
      <c r="AM235" s="84"/>
      <c r="AN235" s="84"/>
      <c r="AO235" s="84"/>
      <c r="AP235" s="84"/>
      <c r="AQ235" s="84"/>
      <c r="AR235" s="84"/>
      <c r="AS235" s="84"/>
      <c r="AT235" s="2"/>
    </row>
    <row r="236" spans="1:46" s="80" customFormat="1" hidden="1" x14ac:dyDescent="0.2">
      <c r="A236" s="83"/>
      <c r="B236" s="1"/>
      <c r="C236" s="2"/>
      <c r="D236" s="2"/>
      <c r="E236" s="2"/>
      <c r="F236" s="2"/>
      <c r="I236" s="1"/>
      <c r="J236" s="1"/>
      <c r="K236" s="2"/>
      <c r="L236" s="1"/>
      <c r="M236" s="1"/>
      <c r="O236" s="84">
        <v>4</v>
      </c>
      <c r="P236" s="84">
        <f>IF(C190+C191&gt;=E190+E191,B191,F191)</f>
        <v>5</v>
      </c>
      <c r="Q236" s="84" t="str">
        <f>IF(C190+C191&gt;E190+E191,B190,F190)</f>
        <v>Schalke 04</v>
      </c>
      <c r="R236" s="84">
        <f>IF(C190+C191&gt;=E190+E191,AE218,AE227)</f>
        <v>180606131116</v>
      </c>
      <c r="S236" s="84"/>
      <c r="T236" s="84">
        <v>4</v>
      </c>
      <c r="U236" s="84">
        <f>LARGE($R233:$R240,T236)</f>
        <v>230808191124</v>
      </c>
      <c r="V236" s="84"/>
      <c r="W236" s="84">
        <f>MATCH(U236,R233:R240,0)</f>
        <v>3</v>
      </c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84"/>
      <c r="AM236" s="84"/>
      <c r="AN236" s="84"/>
      <c r="AO236" s="84"/>
      <c r="AP236" s="84"/>
      <c r="AQ236" s="84"/>
      <c r="AR236" s="84"/>
      <c r="AS236" s="84"/>
      <c r="AT236" s="2"/>
    </row>
    <row r="237" spans="1:46" s="80" customFormat="1" hidden="1" x14ac:dyDescent="0.2">
      <c r="A237" s="83"/>
      <c r="B237" s="1"/>
      <c r="C237" s="2"/>
      <c r="D237" s="2"/>
      <c r="E237" s="2"/>
      <c r="F237" s="2"/>
      <c r="I237" s="1"/>
      <c r="J237" s="1"/>
      <c r="K237" s="2"/>
      <c r="L237" s="1"/>
      <c r="M237" s="1"/>
      <c r="O237" s="84">
        <v>5</v>
      </c>
      <c r="P237" s="84">
        <f>IF(J190+J191&gt;=L190+L191,I191,M191)</f>
        <v>21</v>
      </c>
      <c r="Q237" s="84" t="str">
        <f>IF(J190+J191&gt;L190+L191,I190,M190)</f>
        <v>Torino</v>
      </c>
      <c r="R237" s="84">
        <f>IF(J190+J191&gt;=L190+L191,AE222,AE223)</f>
        <v>200706181095</v>
      </c>
      <c r="S237" s="84"/>
      <c r="T237" s="84">
        <v>5</v>
      </c>
      <c r="U237" s="84">
        <f>LARGE($R233:$R240,T237)</f>
        <v>200706181095</v>
      </c>
      <c r="V237" s="84"/>
      <c r="W237" s="84">
        <f>MATCH(U237,R233:R240,0)</f>
        <v>5</v>
      </c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  <c r="AL237" s="84"/>
      <c r="AM237" s="84"/>
      <c r="AN237" s="84"/>
      <c r="AO237" s="84"/>
      <c r="AP237" s="84"/>
      <c r="AQ237" s="84"/>
      <c r="AR237" s="84"/>
      <c r="AS237" s="84"/>
      <c r="AT237" s="2"/>
    </row>
    <row r="238" spans="1:46" s="80" customFormat="1" hidden="1" x14ac:dyDescent="0.2">
      <c r="B238" s="1"/>
      <c r="C238" s="2"/>
      <c r="D238" s="2"/>
      <c r="E238" s="2"/>
      <c r="F238" s="2"/>
      <c r="I238" s="1"/>
      <c r="J238" s="1"/>
      <c r="K238" s="2"/>
      <c r="L238" s="1"/>
      <c r="M238" s="1"/>
      <c r="O238" s="84">
        <v>6</v>
      </c>
      <c r="P238" s="84">
        <f>IF(J187+J188&gt;=L187+L188,I188,M188)</f>
        <v>17</v>
      </c>
      <c r="Q238" s="84" t="str">
        <f>IF(J187+J188&gt;L187+L188,I187,M187)</f>
        <v>R B Leipzig</v>
      </c>
      <c r="R238" s="84">
        <f>IF(J187+J188&gt;=L187+L188,AE221,AE224)</f>
        <v>180599141103</v>
      </c>
      <c r="S238" s="84"/>
      <c r="T238" s="84">
        <v>6</v>
      </c>
      <c r="U238" s="84">
        <f>LARGE($R233:$R240,T238)</f>
        <v>200703131111</v>
      </c>
      <c r="V238" s="84"/>
      <c r="W238" s="84">
        <f>MATCH(U238,R233:R240,0)</f>
        <v>7</v>
      </c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  <c r="AL238" s="84"/>
      <c r="AM238" s="84"/>
      <c r="AN238" s="84"/>
      <c r="AO238" s="84"/>
      <c r="AP238" s="84"/>
      <c r="AQ238" s="84"/>
      <c r="AR238" s="84"/>
      <c r="AS238" s="84"/>
      <c r="AT238" s="2"/>
    </row>
    <row r="239" spans="1:46" s="80" customFormat="1" ht="15.75" hidden="1" customHeight="1" x14ac:dyDescent="0.2">
      <c r="B239" s="1"/>
      <c r="C239" s="2"/>
      <c r="D239" s="2"/>
      <c r="E239" s="2"/>
      <c r="F239" s="2"/>
      <c r="I239" s="1"/>
      <c r="J239" s="1"/>
      <c r="K239" s="2"/>
      <c r="L239" s="1"/>
      <c r="M239" s="1"/>
      <c r="O239" s="84">
        <v>7</v>
      </c>
      <c r="P239" s="84">
        <f>IF(J184+J185&gt;=L184+L185,I185,M185)</f>
        <v>13</v>
      </c>
      <c r="Q239" s="84" t="str">
        <f>IF(J184+J185&gt;L184+L185,I184,M184)</f>
        <v>P S V</v>
      </c>
      <c r="R239" s="84">
        <f>IF(J184+J185&gt;=L184+L185,AE220,AE225)</f>
        <v>200703131111</v>
      </c>
      <c r="S239" s="84"/>
      <c r="T239" s="84">
        <v>7</v>
      </c>
      <c r="U239" s="84">
        <f>LARGE($R233:$R240,T239)</f>
        <v>180606131116</v>
      </c>
      <c r="V239" s="84"/>
      <c r="W239" s="84">
        <f>MATCH(U239,R233:R240,0)</f>
        <v>4</v>
      </c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  <c r="AL239" s="84"/>
      <c r="AM239" s="84"/>
      <c r="AN239" s="84"/>
      <c r="AO239" s="84"/>
      <c r="AP239" s="84"/>
      <c r="AQ239" s="84"/>
      <c r="AR239" s="84"/>
      <c r="AS239" s="84"/>
      <c r="AT239" s="2"/>
    </row>
    <row r="240" spans="1:46" s="80" customFormat="1" ht="15.75" hidden="1" customHeight="1" x14ac:dyDescent="0.2">
      <c r="B240" s="82"/>
      <c r="I240" s="82"/>
      <c r="J240" s="82"/>
      <c r="L240" s="82"/>
      <c r="O240" s="84">
        <v>8</v>
      </c>
      <c r="P240" s="84">
        <f>IF(J181+J182&gt;=L181+L182,I182,M182)</f>
        <v>19</v>
      </c>
      <c r="Q240" s="84" t="str">
        <f>IF(J181+J182&gt;L181+L182,I181,M181)</f>
        <v>Celta De Vigo</v>
      </c>
      <c r="R240" s="84">
        <f>IF(J181+J182&gt;=L181+L182,AE219,AE226)</f>
        <v>281018221099</v>
      </c>
      <c r="S240" s="84"/>
      <c r="T240" s="84">
        <v>8</v>
      </c>
      <c r="U240" s="84">
        <f>LARGE($R233:$R240,T240)</f>
        <v>180599141103</v>
      </c>
      <c r="V240" s="84"/>
      <c r="W240" s="84">
        <f>MATCH(U240,R233:R240,0)</f>
        <v>6</v>
      </c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  <c r="AL240" s="84"/>
      <c r="AM240" s="84"/>
      <c r="AN240" s="84"/>
      <c r="AO240" s="84"/>
      <c r="AP240" s="84"/>
      <c r="AQ240" s="84"/>
      <c r="AR240" s="84"/>
      <c r="AS240" s="84"/>
      <c r="AT240" s="2"/>
    </row>
    <row r="241" spans="1:52" s="80" customFormat="1" x14ac:dyDescent="0.2">
      <c r="B241" s="82"/>
      <c r="I241" s="82"/>
      <c r="J241" s="82"/>
      <c r="L241" s="82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  <c r="AL241" s="84"/>
      <c r="AM241" s="2"/>
      <c r="AN241" s="84"/>
      <c r="AO241" s="84"/>
      <c r="AP241" s="84"/>
      <c r="AQ241" s="84"/>
      <c r="AR241" s="84"/>
      <c r="AS241" s="2"/>
      <c r="AT241" s="2"/>
      <c r="AU241" s="2"/>
      <c r="AV241" s="2"/>
      <c r="AW241" s="2"/>
      <c r="AX241" s="2"/>
      <c r="AY241" s="2"/>
      <c r="AZ241" s="2"/>
    </row>
    <row r="242" spans="1:52" s="80" customFormat="1" x14ac:dyDescent="0.2">
      <c r="B242" s="82"/>
      <c r="I242" s="82"/>
      <c r="J242" s="82"/>
      <c r="L242" s="82"/>
      <c r="O242" s="84" t="s">
        <v>63</v>
      </c>
      <c r="P242" s="148" t="s">
        <v>36</v>
      </c>
      <c r="Q242" s="148" t="s">
        <v>1</v>
      </c>
      <c r="R242" s="148" t="s">
        <v>2</v>
      </c>
      <c r="S242" s="148" t="s">
        <v>3</v>
      </c>
      <c r="T242" s="148" t="s">
        <v>4</v>
      </c>
      <c r="U242" s="148" t="s">
        <v>5</v>
      </c>
      <c r="V242" s="148" t="s">
        <v>6</v>
      </c>
      <c r="W242" s="148" t="s">
        <v>7</v>
      </c>
      <c r="X242" s="148" t="s">
        <v>8</v>
      </c>
      <c r="Y242" s="148" t="s">
        <v>9</v>
      </c>
      <c r="Z242" s="84"/>
      <c r="AA242" s="84" t="s">
        <v>67</v>
      </c>
      <c r="AB242" s="84" t="s">
        <v>68</v>
      </c>
      <c r="AC242" s="84"/>
      <c r="AD242" s="84" t="s">
        <v>69</v>
      </c>
      <c r="AE242" s="84"/>
      <c r="AF242" s="84"/>
      <c r="AG242" s="84"/>
      <c r="AH242" s="84"/>
      <c r="AI242" s="84"/>
      <c r="AJ242" s="84"/>
      <c r="AK242" s="84"/>
      <c r="AL242" s="84"/>
      <c r="AM242" s="2"/>
      <c r="AN242" s="84"/>
      <c r="AO242" s="84"/>
      <c r="AP242" s="84"/>
      <c r="AQ242" s="84"/>
      <c r="AR242" s="84"/>
      <c r="AS242" s="2"/>
      <c r="AT242" s="2"/>
      <c r="AU242" s="2"/>
      <c r="AV242" s="2"/>
      <c r="AW242" s="2"/>
      <c r="AX242" s="2"/>
      <c r="AY242" s="2"/>
      <c r="AZ242" s="2"/>
    </row>
    <row r="243" spans="1:52" s="80" customFormat="1" x14ac:dyDescent="0.2">
      <c r="B243" s="82"/>
      <c r="I243" s="82"/>
      <c r="J243" s="82"/>
      <c r="L243" s="82"/>
      <c r="M243" s="100"/>
      <c r="O243" s="84">
        <v>1</v>
      </c>
      <c r="P243" s="84">
        <f t="shared" ref="P243:P250" si="9">VLOOKUP(W233,$O$233:$R$240,2)</f>
        <v>19</v>
      </c>
      <c r="Q243" s="84" t="str">
        <f t="shared" ref="Q243:Q250" si="10">VLOOKUP(W233,$O$233:$R$240,3)</f>
        <v>Celta De Vigo</v>
      </c>
      <c r="R243" s="84">
        <f>IF(C214&lt;&gt;"",1,0)</f>
        <v>1</v>
      </c>
      <c r="S243" s="84">
        <f>IF(C214&gt;E214,1,0)</f>
        <v>1</v>
      </c>
      <c r="T243" s="84">
        <f>R243-S243-U243</f>
        <v>0</v>
      </c>
      <c r="U243" s="84">
        <f>IF(C214&lt;E214,1,0)</f>
        <v>0</v>
      </c>
      <c r="V243" s="84">
        <f>C214</f>
        <v>2</v>
      </c>
      <c r="W243" s="84">
        <f>E214</f>
        <v>0</v>
      </c>
      <c r="X243" s="84">
        <f>V243-W243</f>
        <v>2</v>
      </c>
      <c r="Y243" s="84">
        <f>S243*3+T243</f>
        <v>3</v>
      </c>
      <c r="Z243" s="84"/>
      <c r="AA243" s="84">
        <f>(10^10)*Y243+(10^8)*S243+(10^6)*(50+X243)+(10^4)*V243+(10^2)*R243+(13-P243)</f>
        <v>30152020094</v>
      </c>
      <c r="AB243" s="84">
        <f>VLOOKUP(W233,$O$233:$R$240,4)</f>
        <v>281018221099</v>
      </c>
      <c r="AC243" s="84"/>
      <c r="AD243" s="84">
        <f>AA243+AB243</f>
        <v>311170241193</v>
      </c>
      <c r="AE243" s="84"/>
      <c r="AF243" s="84"/>
      <c r="AG243" s="84"/>
      <c r="AH243" s="84"/>
      <c r="AI243" s="84"/>
      <c r="AJ243" s="84"/>
      <c r="AK243" s="84"/>
      <c r="AL243" s="84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</row>
    <row r="244" spans="1:52" s="80" customFormat="1" x14ac:dyDescent="0.2">
      <c r="B244" s="82"/>
      <c r="I244" s="82"/>
      <c r="J244" s="82"/>
      <c r="L244" s="82"/>
      <c r="M244" s="101"/>
      <c r="O244" s="84">
        <v>2</v>
      </c>
      <c r="P244" s="84">
        <f t="shared" si="9"/>
        <v>4</v>
      </c>
      <c r="Q244" s="84" t="str">
        <f t="shared" si="10"/>
        <v>Sporting</v>
      </c>
      <c r="R244" s="84">
        <f>IF(C217&lt;&gt;"",1,0)</f>
        <v>1</v>
      </c>
      <c r="S244" s="84">
        <f>IF(C217&gt;E217,1,0)</f>
        <v>1</v>
      </c>
      <c r="T244" s="84">
        <f t="shared" ref="T244:T250" si="11">R244-S244-U244</f>
        <v>0</v>
      </c>
      <c r="U244" s="84">
        <f>IF(C217&lt;E217,1,0)</f>
        <v>0</v>
      </c>
      <c r="V244" s="84">
        <f>C217</f>
        <v>2</v>
      </c>
      <c r="W244" s="84">
        <f>E217</f>
        <v>1</v>
      </c>
      <c r="X244" s="84">
        <f t="shared" ref="X244:X250" si="12">V244-W244</f>
        <v>1</v>
      </c>
      <c r="Y244" s="84">
        <f t="shared" ref="Y244:Y250" si="13">S244*3+T244</f>
        <v>3</v>
      </c>
      <c r="Z244" s="84"/>
      <c r="AA244" s="84">
        <f>(10^10)*Y244+(10^8)*S244+(10^6)*(50+X244)+(10^4)*V244+(10^2)*R244+(13-P244)</f>
        <v>30151020109</v>
      </c>
      <c r="AB244" s="84">
        <f t="shared" ref="AB244:AB249" si="14">VLOOKUP(W234,$O$233:$R$240,4)</f>
        <v>240814231118</v>
      </c>
      <c r="AC244" s="84"/>
      <c r="AD244" s="84">
        <f t="shared" ref="AD244:AD250" si="15">AA244+AB244</f>
        <v>270965251227</v>
      </c>
      <c r="AE244" s="84"/>
      <c r="AF244" s="84"/>
      <c r="AG244" s="84"/>
      <c r="AH244" s="84"/>
      <c r="AI244" s="84"/>
      <c r="AJ244" s="84"/>
      <c r="AK244" s="84"/>
      <c r="AL244" s="84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</row>
    <row r="245" spans="1:52" s="80" customFormat="1" x14ac:dyDescent="0.2">
      <c r="B245" s="82"/>
      <c r="I245" s="82"/>
      <c r="J245" s="82"/>
      <c r="L245" s="82"/>
      <c r="O245" s="84">
        <v>3</v>
      </c>
      <c r="P245" s="84">
        <f t="shared" si="9"/>
        <v>9</v>
      </c>
      <c r="Q245" s="84" t="str">
        <f t="shared" si="10"/>
        <v>Beşiktaş</v>
      </c>
      <c r="R245" s="84">
        <f>IF(J214&lt;&gt;"",1,0)</f>
        <v>1</v>
      </c>
      <c r="S245" s="84">
        <f>IF(J214&gt;L214,1,0)</f>
        <v>1</v>
      </c>
      <c r="T245" s="84">
        <f t="shared" si="11"/>
        <v>0</v>
      </c>
      <c r="U245" s="84">
        <f>IF(J214&lt;L214,1,0)</f>
        <v>0</v>
      </c>
      <c r="V245" s="84">
        <f>J214</f>
        <v>2</v>
      </c>
      <c r="W245" s="84">
        <f>L214</f>
        <v>0</v>
      </c>
      <c r="X245" s="84">
        <f t="shared" si="12"/>
        <v>2</v>
      </c>
      <c r="Y245" s="84">
        <f t="shared" si="13"/>
        <v>3</v>
      </c>
      <c r="Z245" s="84"/>
      <c r="AA245" s="84">
        <f t="shared" ref="AA245:AA249" si="16">(10^10)*Y245+(10^8)*S245+(10^6)*(50+X245)+(10^4)*V245+(10^2)*R245+(13-P245)</f>
        <v>30152020104</v>
      </c>
      <c r="AB245" s="84">
        <f t="shared" si="14"/>
        <v>230815231108</v>
      </c>
      <c r="AC245" s="84"/>
      <c r="AD245" s="84">
        <f t="shared" si="15"/>
        <v>260967251212</v>
      </c>
      <c r="AE245" s="84"/>
      <c r="AF245" s="84"/>
      <c r="AG245" s="84"/>
      <c r="AH245" s="84"/>
      <c r="AI245" s="84"/>
      <c r="AJ245" s="84"/>
      <c r="AK245" s="84"/>
      <c r="AL245" s="84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</row>
    <row r="246" spans="1:52" s="80" customFormat="1" x14ac:dyDescent="0.2">
      <c r="B246" s="1"/>
      <c r="C246" s="2"/>
      <c r="D246" s="2"/>
      <c r="E246" s="2"/>
      <c r="F246" s="2"/>
      <c r="I246" s="82"/>
      <c r="J246" s="82"/>
      <c r="L246" s="82"/>
      <c r="O246" s="84">
        <v>4</v>
      </c>
      <c r="P246" s="84">
        <f t="shared" si="9"/>
        <v>1</v>
      </c>
      <c r="Q246" s="84" t="str">
        <f t="shared" si="10"/>
        <v> Atalanta</v>
      </c>
      <c r="R246" s="84">
        <f>IF(J217&lt;&gt;"",1,0)</f>
        <v>1</v>
      </c>
      <c r="S246" s="84">
        <f>IF(J217&gt;L217,1,0)</f>
        <v>0</v>
      </c>
      <c r="T246" s="84">
        <f t="shared" si="11"/>
        <v>1</v>
      </c>
      <c r="U246" s="84">
        <f>IF(J217&lt;L217,1,0)</f>
        <v>0</v>
      </c>
      <c r="V246" s="84">
        <f>J217</f>
        <v>1</v>
      </c>
      <c r="W246" s="84">
        <f>L217</f>
        <v>1</v>
      </c>
      <c r="X246" s="84">
        <f t="shared" si="12"/>
        <v>0</v>
      </c>
      <c r="Y246" s="84">
        <f t="shared" si="13"/>
        <v>1</v>
      </c>
      <c r="Z246" s="84"/>
      <c r="AA246" s="84">
        <f t="shared" si="16"/>
        <v>10050010112</v>
      </c>
      <c r="AB246" s="84">
        <f t="shared" si="14"/>
        <v>230808191124</v>
      </c>
      <c r="AC246" s="84"/>
      <c r="AD246" s="84">
        <f t="shared" si="15"/>
        <v>240858201236</v>
      </c>
      <c r="AE246" s="84"/>
      <c r="AF246" s="84"/>
      <c r="AG246" s="84"/>
      <c r="AH246" s="84"/>
      <c r="AI246" s="84"/>
      <c r="AJ246" s="84"/>
      <c r="AK246" s="84"/>
      <c r="AL246" s="84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</row>
    <row r="247" spans="1:52" s="80" customFormat="1" ht="17.25" customHeight="1" x14ac:dyDescent="0.25">
      <c r="B247" s="160" t="s">
        <v>70</v>
      </c>
      <c r="C247" s="160"/>
      <c r="D247" s="160"/>
      <c r="E247" s="160"/>
      <c r="F247" s="160"/>
      <c r="G247" s="2"/>
      <c r="H247" s="2"/>
      <c r="I247" s="147"/>
      <c r="J247" s="81"/>
      <c r="K247" s="81"/>
      <c r="L247" s="81"/>
      <c r="M247" s="81"/>
      <c r="O247" s="84">
        <v>5</v>
      </c>
      <c r="P247" s="84">
        <f t="shared" si="9"/>
        <v>21</v>
      </c>
      <c r="Q247" s="84" t="str">
        <f t="shared" si="10"/>
        <v>Torino</v>
      </c>
      <c r="R247" s="84">
        <f>IF(L217&lt;&gt;"",1,0)</f>
        <v>1</v>
      </c>
      <c r="S247" s="84">
        <f>IF(L217&gt;J217,1,0)</f>
        <v>0</v>
      </c>
      <c r="T247" s="84">
        <f t="shared" si="11"/>
        <v>1</v>
      </c>
      <c r="U247" s="84">
        <f>IF(L217&lt;J217,1,0)</f>
        <v>0</v>
      </c>
      <c r="V247" s="84">
        <f>L217</f>
        <v>1</v>
      </c>
      <c r="W247" s="84">
        <f>J217</f>
        <v>1</v>
      </c>
      <c r="X247" s="84">
        <f t="shared" si="12"/>
        <v>0</v>
      </c>
      <c r="Y247" s="84">
        <f t="shared" si="13"/>
        <v>1</v>
      </c>
      <c r="Z247" s="84"/>
      <c r="AA247" s="84">
        <f t="shared" si="16"/>
        <v>10050010092</v>
      </c>
      <c r="AB247" s="84">
        <f t="shared" si="14"/>
        <v>200706181095</v>
      </c>
      <c r="AC247" s="84"/>
      <c r="AD247" s="84">
        <f t="shared" si="15"/>
        <v>210756191187</v>
      </c>
      <c r="AE247" s="84"/>
      <c r="AF247" s="84"/>
      <c r="AG247" s="84"/>
      <c r="AH247" s="84"/>
      <c r="AI247" s="84"/>
      <c r="AJ247" s="84"/>
      <c r="AK247" s="84"/>
      <c r="AL247" s="84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</row>
    <row r="248" spans="1:52" s="80" customFormat="1" x14ac:dyDescent="0.2">
      <c r="B248" s="1"/>
      <c r="C248" s="1"/>
      <c r="D248" s="2"/>
      <c r="E248" s="1"/>
      <c r="F248" s="1"/>
      <c r="G248" s="2"/>
      <c r="H248" s="2"/>
      <c r="I248" s="1"/>
      <c r="J248" s="2"/>
      <c r="K248" s="2"/>
      <c r="L248" s="2"/>
      <c r="M248" s="2"/>
      <c r="O248" s="84">
        <v>6</v>
      </c>
      <c r="P248" s="84">
        <f t="shared" si="9"/>
        <v>13</v>
      </c>
      <c r="Q248" s="84" t="str">
        <f t="shared" si="10"/>
        <v>P S V</v>
      </c>
      <c r="R248" s="84">
        <f>IF(L214&lt;&gt;"",1,0)</f>
        <v>1</v>
      </c>
      <c r="S248" s="84">
        <f>IF(L214&gt;J214,1,0)</f>
        <v>0</v>
      </c>
      <c r="T248" s="84">
        <f t="shared" si="11"/>
        <v>0</v>
      </c>
      <c r="U248" s="84">
        <f>IF(L214&lt;J214,1,0)</f>
        <v>1</v>
      </c>
      <c r="V248" s="84">
        <f>L214</f>
        <v>0</v>
      </c>
      <c r="W248" s="84">
        <f>J214</f>
        <v>2</v>
      </c>
      <c r="X248" s="84">
        <f t="shared" si="12"/>
        <v>-2</v>
      </c>
      <c r="Y248" s="84">
        <f t="shared" si="13"/>
        <v>0</v>
      </c>
      <c r="Z248" s="84"/>
      <c r="AA248" s="84">
        <f t="shared" si="16"/>
        <v>48000100</v>
      </c>
      <c r="AB248" s="84">
        <f t="shared" si="14"/>
        <v>200703131111</v>
      </c>
      <c r="AC248" s="84"/>
      <c r="AD248" s="84">
        <f t="shared" si="15"/>
        <v>200751131211</v>
      </c>
      <c r="AE248" s="84"/>
      <c r="AF248" s="84"/>
      <c r="AG248" s="84"/>
      <c r="AH248" s="84"/>
      <c r="AI248" s="84"/>
      <c r="AJ248" s="84"/>
      <c r="AK248" s="84"/>
      <c r="AL248" s="84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</row>
    <row r="249" spans="1:52" s="80" customFormat="1" x14ac:dyDescent="0.2">
      <c r="B249" s="1"/>
      <c r="C249" s="1"/>
      <c r="D249" s="2"/>
      <c r="E249" s="1"/>
      <c r="F249" s="1"/>
      <c r="G249" s="2"/>
      <c r="H249" s="2"/>
      <c r="I249" s="1"/>
      <c r="J249" s="2"/>
      <c r="K249" s="2"/>
      <c r="L249" s="2"/>
      <c r="M249" s="2"/>
      <c r="O249" s="84">
        <v>7</v>
      </c>
      <c r="P249" s="84">
        <f t="shared" si="9"/>
        <v>5</v>
      </c>
      <c r="Q249" s="84" t="str">
        <f t="shared" si="10"/>
        <v>Schalke 04</v>
      </c>
      <c r="R249" s="84">
        <f>IF(E217&lt;&gt;"",1,0)</f>
        <v>1</v>
      </c>
      <c r="S249" s="84">
        <f>IF(E217&gt;C217,1,0)</f>
        <v>0</v>
      </c>
      <c r="T249" s="84">
        <f t="shared" si="11"/>
        <v>0</v>
      </c>
      <c r="U249" s="84">
        <f>IF(E217&lt;C217,1,0)</f>
        <v>1</v>
      </c>
      <c r="V249" s="84">
        <f>E217</f>
        <v>1</v>
      </c>
      <c r="W249" s="84">
        <f>C217</f>
        <v>2</v>
      </c>
      <c r="X249" s="84">
        <f t="shared" si="12"/>
        <v>-1</v>
      </c>
      <c r="Y249" s="84">
        <f t="shared" si="13"/>
        <v>0</v>
      </c>
      <c r="Z249" s="84"/>
      <c r="AA249" s="84">
        <f t="shared" si="16"/>
        <v>49010108</v>
      </c>
      <c r="AB249" s="84">
        <f t="shared" si="14"/>
        <v>180606131116</v>
      </c>
      <c r="AC249" s="84"/>
      <c r="AD249" s="84">
        <f t="shared" si="15"/>
        <v>180655141224</v>
      </c>
      <c r="AE249" s="84"/>
      <c r="AF249" s="84"/>
      <c r="AG249" s="84"/>
      <c r="AH249" s="84"/>
      <c r="AI249" s="84"/>
      <c r="AJ249" s="84"/>
      <c r="AK249" s="84"/>
      <c r="AL249" s="84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</row>
    <row r="250" spans="1:52" s="80" customFormat="1" ht="15.75" customHeight="1" x14ac:dyDescent="0.2">
      <c r="B250" s="1"/>
      <c r="C250" s="1"/>
      <c r="D250" s="2"/>
      <c r="E250" s="1"/>
      <c r="F250" s="1"/>
      <c r="G250" s="2"/>
      <c r="H250" s="2"/>
      <c r="I250" s="1"/>
      <c r="J250" s="2"/>
      <c r="K250" s="2"/>
      <c r="L250" s="2"/>
      <c r="M250" s="2"/>
      <c r="O250" s="84">
        <v>8</v>
      </c>
      <c r="P250" s="84">
        <f t="shared" si="9"/>
        <v>17</v>
      </c>
      <c r="Q250" s="84" t="str">
        <f t="shared" si="10"/>
        <v>R B Leipzig</v>
      </c>
      <c r="R250" s="84">
        <f>IF(E214&lt;&gt;"",1,0)</f>
        <v>1</v>
      </c>
      <c r="S250" s="84">
        <f>IF(E214&gt;C214,1,0)</f>
        <v>0</v>
      </c>
      <c r="T250" s="84">
        <f t="shared" si="11"/>
        <v>0</v>
      </c>
      <c r="U250" s="84">
        <f>IF(E214&lt;C214,1,0)</f>
        <v>1</v>
      </c>
      <c r="V250" s="84">
        <f>E214</f>
        <v>0</v>
      </c>
      <c r="W250" s="84">
        <f>C214</f>
        <v>2</v>
      </c>
      <c r="X250" s="84">
        <f t="shared" si="12"/>
        <v>-2</v>
      </c>
      <c r="Y250" s="84">
        <f t="shared" si="13"/>
        <v>0</v>
      </c>
      <c r="Z250" s="84"/>
      <c r="AA250" s="84">
        <f>(10^10)*Y250+(10^8)*S250+(10^6)*(50+X250)+(10^4)*V250+(10^2)*R250+(13-P250)</f>
        <v>48000096</v>
      </c>
      <c r="AB250" s="84">
        <f>VLOOKUP(W240,$O$233:$R$240,4)</f>
        <v>180599141103</v>
      </c>
      <c r="AC250" s="84"/>
      <c r="AD250" s="84">
        <f t="shared" si="15"/>
        <v>180647141199</v>
      </c>
      <c r="AE250" s="84"/>
      <c r="AF250" s="84"/>
      <c r="AG250" s="84"/>
      <c r="AH250" s="84"/>
      <c r="AI250" s="84"/>
      <c r="AJ250" s="84"/>
      <c r="AK250" s="84"/>
      <c r="AL250" s="84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s="80" customFormat="1" x14ac:dyDescent="0.2">
      <c r="B251" s="143" t="str">
        <f>Q271</f>
        <v>Celta De Vigo</v>
      </c>
      <c r="C251" s="94">
        <v>0</v>
      </c>
      <c r="D251" s="102" t="s">
        <v>20</v>
      </c>
      <c r="E251" s="103">
        <v>0</v>
      </c>
      <c r="F251" s="93" t="str">
        <f>Q272</f>
        <v>Sporting</v>
      </c>
      <c r="G251" s="2"/>
      <c r="H251" s="2"/>
      <c r="I251" s="1"/>
      <c r="J251" s="1"/>
      <c r="K251" s="98"/>
      <c r="L251" s="99"/>
      <c r="M251" s="1"/>
      <c r="O251" s="2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  <c r="AL251" s="84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s="80" customFormat="1" x14ac:dyDescent="0.2">
      <c r="B252" s="129">
        <f>P271</f>
        <v>19</v>
      </c>
      <c r="C252" s="170">
        <v>4</v>
      </c>
      <c r="D252" s="2"/>
      <c r="E252" s="170">
        <v>3</v>
      </c>
      <c r="F252" s="129">
        <f>P272</f>
        <v>4</v>
      </c>
      <c r="G252" s="2"/>
      <c r="H252" s="2"/>
      <c r="I252" s="82"/>
      <c r="J252" s="82"/>
      <c r="K252" s="2"/>
      <c r="L252" s="82"/>
      <c r="O252" s="2"/>
      <c r="P252" s="84"/>
      <c r="Q252" s="84"/>
      <c r="R252" s="84"/>
      <c r="S252" s="84"/>
      <c r="T252" s="84" t="s">
        <v>35</v>
      </c>
      <c r="U252" s="84"/>
      <c r="V252" s="84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  <c r="AL252" s="84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s="2" customFormat="1" x14ac:dyDescent="0.2">
      <c r="A253" s="80"/>
      <c r="B253" s="1"/>
      <c r="I253" s="1"/>
      <c r="J253" s="1"/>
      <c r="L253" s="1"/>
      <c r="M253" s="1"/>
      <c r="N253" s="80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  <c r="AL253" s="84"/>
    </row>
    <row r="254" spans="1:52" s="2" customFormat="1" x14ac:dyDescent="0.2">
      <c r="A254" s="80"/>
      <c r="B254" s="1"/>
      <c r="I254" s="1"/>
      <c r="J254" s="1"/>
      <c r="K254" s="98"/>
      <c r="L254" s="99"/>
      <c r="M254" s="1"/>
      <c r="N254" s="80"/>
      <c r="O254" s="84">
        <v>1</v>
      </c>
      <c r="P254" s="84">
        <f>IF(C214+C215&gt;=E214+E215,B215,F215)</f>
        <v>19</v>
      </c>
      <c r="Q254" s="84" t="str">
        <f>IF(C214+C215&gt;=E214+E215,B214,F214)</f>
        <v>Celta De Vigo</v>
      </c>
      <c r="R254" s="84">
        <f>IF(C214+C215&gt;=E214+E215,AD243,AD250)</f>
        <v>311170241193</v>
      </c>
      <c r="S254" s="84"/>
      <c r="T254" s="84">
        <v>1</v>
      </c>
      <c r="U254" s="84">
        <f>LARGE($R254:$R257,T254)</f>
        <v>311170241193</v>
      </c>
      <c r="V254" s="84"/>
      <c r="W254" s="84">
        <f>MATCH(U254,R254:R257,0)</f>
        <v>1</v>
      </c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  <c r="AL254" s="84"/>
    </row>
    <row r="255" spans="1:52" s="2" customFormat="1" x14ac:dyDescent="0.2">
      <c r="A255" s="80"/>
      <c r="I255" s="1"/>
      <c r="J255" s="82"/>
      <c r="L255" s="82"/>
      <c r="M255" s="1"/>
      <c r="N255" s="80"/>
      <c r="O255" s="84">
        <v>2</v>
      </c>
      <c r="P255" s="84">
        <f>IF(C217+C218&gt;=E217+E218,B218,F218)</f>
        <v>4</v>
      </c>
      <c r="Q255" s="84" t="str">
        <f>IF(C217+C218&gt;=E217+E218,B217,F217)</f>
        <v>Sporting</v>
      </c>
      <c r="R255" s="84">
        <f>IF(C217+C218&gt;=E217+E218,AD244,AD249)</f>
        <v>270965251227</v>
      </c>
      <c r="S255" s="84"/>
      <c r="T255" s="84">
        <v>2</v>
      </c>
      <c r="U255" s="84">
        <f>LARGE($R254:$R257,T255)</f>
        <v>270965251227</v>
      </c>
      <c r="V255" s="84"/>
      <c r="W255" s="84">
        <f>MATCH(U255,R254:R257,0)</f>
        <v>2</v>
      </c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84"/>
    </row>
    <row r="256" spans="1:52" s="2" customFormat="1" x14ac:dyDescent="0.2">
      <c r="A256" s="80"/>
      <c r="I256" s="1"/>
      <c r="J256" s="1"/>
      <c r="L256" s="1"/>
      <c r="M256" s="1"/>
      <c r="N256" s="80"/>
      <c r="O256" s="84">
        <v>3</v>
      </c>
      <c r="P256" s="84">
        <f>IF(J214+J215&gt;=L214+L215,I215,M215)</f>
        <v>9</v>
      </c>
      <c r="Q256" s="84" t="str">
        <f>IF(J214+J215&gt;=L214+L215,I214,M214)</f>
        <v>Beşiktaş</v>
      </c>
      <c r="R256" s="84">
        <f>IF(J214+J215&gt;=L214+L215,AD245,AD248)</f>
        <v>260967251212</v>
      </c>
      <c r="S256" s="84"/>
      <c r="T256" s="84">
        <v>3</v>
      </c>
      <c r="U256" s="84">
        <f>LARGE($R254:$R257,T256)</f>
        <v>260967251212</v>
      </c>
      <c r="V256" s="84"/>
      <c r="W256" s="84">
        <f>MATCH(U256,R254:R257,0)</f>
        <v>3</v>
      </c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  <c r="AL256" s="84"/>
    </row>
    <row r="257" spans="1:38" s="2" customFormat="1" ht="15.75" x14ac:dyDescent="0.25">
      <c r="A257" s="80"/>
      <c r="B257" s="147"/>
      <c r="C257" s="81"/>
      <c r="D257" s="81" t="s">
        <v>54</v>
      </c>
      <c r="E257" s="81"/>
      <c r="F257" s="81"/>
      <c r="I257" s="1"/>
      <c r="J257" s="1"/>
      <c r="L257" s="1"/>
      <c r="M257" s="1"/>
      <c r="N257" s="80"/>
      <c r="O257" s="84">
        <v>4</v>
      </c>
      <c r="P257" s="84">
        <f>IF(J217+J218&gt;=L217+L218,I218,M218)</f>
        <v>21</v>
      </c>
      <c r="Q257" s="84" t="str">
        <f>IF(J217+J218&gt;=L217+L218,I217,M217)</f>
        <v>Torino</v>
      </c>
      <c r="R257" s="84">
        <f>IF(J217+J218&gt;=L217+L218,AD246,AD247)</f>
        <v>210756191187</v>
      </c>
      <c r="S257" s="84"/>
      <c r="T257" s="84">
        <v>4</v>
      </c>
      <c r="U257" s="84">
        <f>LARGE($R254:$R257,T257)</f>
        <v>210756191187</v>
      </c>
      <c r="V257" s="84"/>
      <c r="W257" s="84">
        <f>MATCH(U257,R254:R257,0)</f>
        <v>4</v>
      </c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  <c r="AL257" s="84"/>
    </row>
    <row r="258" spans="1:38" s="2" customFormat="1" x14ac:dyDescent="0.2">
      <c r="A258" s="80"/>
      <c r="B258" s="1"/>
      <c r="I258" s="1"/>
      <c r="J258" s="1"/>
      <c r="L258" s="1"/>
      <c r="M258" s="1"/>
      <c r="N258" s="80"/>
      <c r="O258" s="97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  <c r="AL258" s="84"/>
    </row>
    <row r="259" spans="1:38" s="2" customFormat="1" x14ac:dyDescent="0.2">
      <c r="A259" s="80"/>
      <c r="B259" s="1"/>
      <c r="I259" s="1"/>
      <c r="J259" s="1"/>
      <c r="L259" s="1"/>
      <c r="N259" s="80"/>
      <c r="O259" s="97" t="s">
        <v>63</v>
      </c>
      <c r="P259" s="148" t="s">
        <v>36</v>
      </c>
      <c r="Q259" s="148" t="s">
        <v>1</v>
      </c>
      <c r="R259" s="148" t="s">
        <v>2</v>
      </c>
      <c r="S259" s="148" t="s">
        <v>3</v>
      </c>
      <c r="T259" s="148" t="s">
        <v>4</v>
      </c>
      <c r="U259" s="148" t="s">
        <v>5</v>
      </c>
      <c r="V259" s="148" t="s">
        <v>6</v>
      </c>
      <c r="W259" s="148" t="s">
        <v>7</v>
      </c>
      <c r="X259" s="148" t="s">
        <v>8</v>
      </c>
      <c r="Y259" s="148" t="s">
        <v>9</v>
      </c>
      <c r="Z259" s="84"/>
      <c r="AA259" s="84" t="s">
        <v>71</v>
      </c>
      <c r="AB259" s="84" t="s">
        <v>72</v>
      </c>
      <c r="AC259" s="84"/>
      <c r="AD259" s="84" t="s">
        <v>69</v>
      </c>
      <c r="AE259" s="84"/>
      <c r="AF259" s="84"/>
      <c r="AG259" s="84"/>
      <c r="AH259" s="84"/>
      <c r="AI259" s="84"/>
      <c r="AJ259" s="84"/>
      <c r="AK259" s="84"/>
      <c r="AL259" s="84"/>
    </row>
    <row r="260" spans="1:38" s="2" customFormat="1" ht="15" customHeight="1" x14ac:dyDescent="0.2">
      <c r="A260" s="80"/>
      <c r="B260" s="1"/>
      <c r="I260" s="1"/>
      <c r="J260" s="1"/>
      <c r="L260" s="1"/>
      <c r="N260" s="80"/>
      <c r="O260" s="97">
        <v>1</v>
      </c>
      <c r="P260" s="84">
        <f>VLOOKUP(W254,$O$254:$R$257,2)</f>
        <v>19</v>
      </c>
      <c r="Q260" s="84" t="str">
        <f>VLOOKUP(W254,$O$254:$R$257,3)</f>
        <v>Celta De Vigo</v>
      </c>
      <c r="R260" s="84">
        <f>IF(C232&lt;&gt;"",1,0)</f>
        <v>1</v>
      </c>
      <c r="S260" s="84">
        <f>IF(C232&gt;E232,1,0)</f>
        <v>1</v>
      </c>
      <c r="T260" s="84">
        <f>R260-S260-U260</f>
        <v>0</v>
      </c>
      <c r="U260" s="84">
        <f>IF(C232&lt;E232,1,0)</f>
        <v>0</v>
      </c>
      <c r="V260" s="84">
        <f>C232</f>
        <v>1</v>
      </c>
      <c r="W260" s="84">
        <f>E232</f>
        <v>0</v>
      </c>
      <c r="X260" s="84">
        <f>V260-W260</f>
        <v>1</v>
      </c>
      <c r="Y260" s="84">
        <f>S260*3+T260</f>
        <v>3</v>
      </c>
      <c r="Z260" s="84"/>
      <c r="AA260" s="84">
        <f>(10^10)*Y260+(10^8)*S260+(10^6)*(50+X260)+(10^4)*V260+(10^2)*R260+(13-P260)</f>
        <v>30151010094</v>
      </c>
      <c r="AB260" s="84">
        <f>VLOOKUP(W254,$O$254:$R$257,4)</f>
        <v>311170241193</v>
      </c>
      <c r="AC260" s="84"/>
      <c r="AD260" s="84">
        <f>AA260+AB260</f>
        <v>341321251287</v>
      </c>
      <c r="AE260" s="84"/>
      <c r="AF260" s="84"/>
      <c r="AG260" s="84"/>
      <c r="AH260" s="84"/>
      <c r="AI260" s="84"/>
      <c r="AJ260" s="84"/>
      <c r="AK260" s="84"/>
      <c r="AL260" s="84"/>
    </row>
    <row r="261" spans="1:38" s="2" customFormat="1" x14ac:dyDescent="0.2">
      <c r="A261" s="80"/>
      <c r="B261" s="143" t="str">
        <f>Q280</f>
        <v>Beşiktaş</v>
      </c>
      <c r="C261" s="94">
        <v>1</v>
      </c>
      <c r="D261" s="102"/>
      <c r="E261" s="103">
        <v>0</v>
      </c>
      <c r="F261" s="93" t="str">
        <f>Q281</f>
        <v>Torino</v>
      </c>
      <c r="I261" s="1"/>
      <c r="J261" s="1"/>
      <c r="L261" s="1"/>
      <c r="N261" s="80"/>
      <c r="O261" s="97">
        <v>2</v>
      </c>
      <c r="P261" s="84">
        <f>VLOOKUP(W255,$O$254:$R$257,2)</f>
        <v>4</v>
      </c>
      <c r="Q261" s="84" t="str">
        <f>VLOOKUP(W255,$O$254:$R$257,3)</f>
        <v>Sporting</v>
      </c>
      <c r="R261" s="84">
        <f>IF(J232&lt;&gt;"",1,0)</f>
        <v>1</v>
      </c>
      <c r="S261" s="84">
        <f>IF(J232&gt;L232,1,0)</f>
        <v>0</v>
      </c>
      <c r="T261" s="84">
        <f t="shared" ref="T261:T263" si="17">R261-S261-U261</f>
        <v>1</v>
      </c>
      <c r="U261" s="84">
        <f>IF(J232&lt;L232,1,0)</f>
        <v>0</v>
      </c>
      <c r="V261" s="84">
        <f>J232</f>
        <v>1</v>
      </c>
      <c r="W261" s="84">
        <f>L232</f>
        <v>1</v>
      </c>
      <c r="X261" s="84">
        <f t="shared" ref="X261:X263" si="18">V261-W261</f>
        <v>0</v>
      </c>
      <c r="Y261" s="84">
        <f t="shared" ref="Y261:Y263" si="19">S261*3+T261</f>
        <v>1</v>
      </c>
      <c r="Z261" s="84"/>
      <c r="AA261" s="84">
        <f>(10^10)*Y261+(10^8)*S261+(10^6)*(50+X261)+(10^4)*V261+(10^2)*R261+(13-P261)</f>
        <v>10050010109</v>
      </c>
      <c r="AB261" s="84">
        <f>VLOOKUP(W255,$O$254:$R$257,4)</f>
        <v>270965251227</v>
      </c>
      <c r="AC261" s="84"/>
      <c r="AD261" s="84">
        <f t="shared" ref="AD261:AD263" si="20">AA261+AB261</f>
        <v>281015261336</v>
      </c>
      <c r="AE261" s="84"/>
      <c r="AF261" s="84"/>
      <c r="AG261" s="84"/>
      <c r="AH261" s="84"/>
      <c r="AI261" s="84"/>
      <c r="AJ261" s="84"/>
      <c r="AK261" s="84"/>
      <c r="AL261" s="84"/>
    </row>
    <row r="262" spans="1:38" s="2" customFormat="1" ht="13.5" customHeight="1" x14ac:dyDescent="0.2">
      <c r="A262" s="80"/>
      <c r="B262" s="129">
        <f>P280</f>
        <v>9</v>
      </c>
      <c r="C262" s="171"/>
      <c r="E262" s="171"/>
      <c r="F262" s="130">
        <f>P281</f>
        <v>21</v>
      </c>
      <c r="I262" s="1"/>
      <c r="J262" s="1"/>
      <c r="L262" s="1"/>
      <c r="N262" s="80"/>
      <c r="O262" s="97">
        <v>3</v>
      </c>
      <c r="P262" s="84">
        <f>VLOOKUP(W256,$O$254:$R$257,2)</f>
        <v>9</v>
      </c>
      <c r="Q262" s="84" t="str">
        <f>VLOOKUP(W256,$O$254:$R$257,3)</f>
        <v>Beşiktaş</v>
      </c>
      <c r="R262" s="84">
        <f>IF(L232&lt;&gt;"",1,0)</f>
        <v>1</v>
      </c>
      <c r="S262" s="84">
        <f>IF(L232&gt;J232,1,0)</f>
        <v>0</v>
      </c>
      <c r="T262" s="84">
        <f t="shared" si="17"/>
        <v>1</v>
      </c>
      <c r="U262" s="84">
        <f>IF(L232&lt;J232,1,0)</f>
        <v>0</v>
      </c>
      <c r="V262" s="84">
        <f>L232</f>
        <v>1</v>
      </c>
      <c r="W262" s="84">
        <f>J232</f>
        <v>1</v>
      </c>
      <c r="X262" s="84">
        <f t="shared" si="18"/>
        <v>0</v>
      </c>
      <c r="Y262" s="84">
        <f t="shared" si="19"/>
        <v>1</v>
      </c>
      <c r="Z262" s="84"/>
      <c r="AA262" s="84">
        <f>(10^10)*Y262+(10^8)*S262+(10^6)*(50+X262)+(10^4)*V262+(10^2)*R262+(13-P262)</f>
        <v>10050010104</v>
      </c>
      <c r="AB262" s="84">
        <f>VLOOKUP(W256,$O$254:$R$257,4)</f>
        <v>260967251212</v>
      </c>
      <c r="AC262" s="84"/>
      <c r="AD262" s="84">
        <f t="shared" si="20"/>
        <v>271017261316</v>
      </c>
      <c r="AE262" s="84"/>
      <c r="AF262" s="84"/>
      <c r="AG262" s="84"/>
      <c r="AH262" s="84"/>
      <c r="AI262" s="84"/>
      <c r="AJ262" s="84"/>
      <c r="AK262" s="84"/>
      <c r="AL262" s="84"/>
    </row>
    <row r="263" spans="1:38" s="2" customFormat="1" ht="13.5" customHeight="1" x14ac:dyDescent="0.2">
      <c r="A263" s="80"/>
      <c r="B263" s="104"/>
      <c r="C263" s="85"/>
      <c r="D263" s="105"/>
      <c r="E263" s="85"/>
      <c r="F263" s="85"/>
      <c r="I263" s="1"/>
      <c r="J263" s="1"/>
      <c r="L263" s="1"/>
      <c r="N263" s="80"/>
      <c r="O263" s="97">
        <v>4</v>
      </c>
      <c r="P263" s="84">
        <f>VLOOKUP(W257,$O$254:$R$257,2)</f>
        <v>21</v>
      </c>
      <c r="Q263" s="84" t="str">
        <f>VLOOKUP(W257,$O$254:$R$257,3)</f>
        <v>Torino</v>
      </c>
      <c r="R263" s="84">
        <f>IF(E232&lt;&gt;"",1,0)</f>
        <v>1</v>
      </c>
      <c r="S263" s="84">
        <f>IF(E232&gt;C232,1,0)</f>
        <v>0</v>
      </c>
      <c r="T263" s="84">
        <f t="shared" si="17"/>
        <v>0</v>
      </c>
      <c r="U263" s="84">
        <f>IF(E232&lt;C232,1,0)</f>
        <v>1</v>
      </c>
      <c r="V263" s="84">
        <f>E232</f>
        <v>0</v>
      </c>
      <c r="W263" s="84">
        <f>C232</f>
        <v>1</v>
      </c>
      <c r="X263" s="84">
        <f t="shared" si="18"/>
        <v>-1</v>
      </c>
      <c r="Y263" s="84">
        <f t="shared" si="19"/>
        <v>0</v>
      </c>
      <c r="Z263" s="84"/>
      <c r="AA263" s="84">
        <f>(10^10)*Y263+(10^8)*S263+(10^6)*(50+X263)+(10^4)*V263+(10^2)*R263+(13-P263)</f>
        <v>49000092</v>
      </c>
      <c r="AB263" s="84">
        <f>VLOOKUP(W257,$O$254:$R$257,4)</f>
        <v>210756191187</v>
      </c>
      <c r="AC263" s="84"/>
      <c r="AD263" s="84">
        <f t="shared" si="20"/>
        <v>210805191279</v>
      </c>
      <c r="AE263" s="84"/>
      <c r="AF263" s="84"/>
      <c r="AG263" s="84"/>
      <c r="AH263" s="84"/>
      <c r="AI263" s="84"/>
      <c r="AJ263" s="84"/>
      <c r="AK263" s="84"/>
      <c r="AL263" s="84"/>
    </row>
    <row r="264" spans="1:38" s="2" customFormat="1" ht="17.25" customHeight="1" x14ac:dyDescent="0.2">
      <c r="A264" s="80"/>
      <c r="B264" s="104"/>
      <c r="C264" s="85"/>
      <c r="D264" s="105"/>
      <c r="E264" s="85"/>
      <c r="F264" s="85"/>
      <c r="I264" s="1"/>
      <c r="J264" s="1"/>
      <c r="L264" s="1"/>
      <c r="N264" s="80"/>
      <c r="O264" s="106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84"/>
    </row>
    <row r="265" spans="1:38" s="2" customFormat="1" x14ac:dyDescent="0.2">
      <c r="A265" s="80"/>
      <c r="B265" s="1"/>
      <c r="I265" s="1"/>
      <c r="J265" s="1"/>
      <c r="L265" s="1"/>
      <c r="N265" s="80"/>
      <c r="O265" s="106"/>
      <c r="P265" s="84"/>
      <c r="Q265" s="84"/>
      <c r="R265" s="84"/>
      <c r="S265" s="84"/>
      <c r="T265" s="84"/>
      <c r="U265" s="84" t="s">
        <v>37</v>
      </c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84"/>
    </row>
    <row r="266" spans="1:38" s="2" customFormat="1" x14ac:dyDescent="0.2">
      <c r="A266" s="80"/>
      <c r="B266" s="1"/>
      <c r="I266" s="1"/>
      <c r="J266" s="1"/>
      <c r="L266" s="1"/>
      <c r="N266" s="80"/>
      <c r="O266" s="106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84"/>
    </row>
    <row r="267" spans="1:38" s="2" customFormat="1" x14ac:dyDescent="0.2">
      <c r="A267" s="80"/>
      <c r="B267" s="82"/>
      <c r="C267" s="80"/>
      <c r="D267" s="80"/>
      <c r="E267" s="80"/>
      <c r="F267" s="80"/>
      <c r="I267" s="1"/>
      <c r="J267" s="1"/>
      <c r="L267" s="1"/>
      <c r="N267" s="80"/>
      <c r="O267" s="106">
        <v>1</v>
      </c>
      <c r="P267" s="84">
        <f>IF(C232+C233&gt;=E232+E233,B233,F233)</f>
        <v>19</v>
      </c>
      <c r="Q267" s="84" t="str">
        <f>IF(C232+C233&gt;=E232+E233,B232,F232)</f>
        <v>Celta De Vigo</v>
      </c>
      <c r="R267" s="84">
        <f>IF(C232+C233&gt;=E232+E233,AD260,AD263)</f>
        <v>341321251287</v>
      </c>
      <c r="S267" s="84"/>
      <c r="T267" s="84">
        <v>1</v>
      </c>
      <c r="U267" s="84">
        <f>LARGE($R267:$R268,T267)</f>
        <v>341321251287</v>
      </c>
      <c r="V267" s="84"/>
      <c r="W267" s="84">
        <f>MATCH(U267,R267:R268,0)</f>
        <v>1</v>
      </c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84"/>
    </row>
    <row r="268" spans="1:38" s="2" customFormat="1" x14ac:dyDescent="0.2">
      <c r="A268" s="80"/>
      <c r="B268" s="82"/>
      <c r="C268" s="80"/>
      <c r="D268" s="80"/>
      <c r="E268" s="80"/>
      <c r="F268" s="80"/>
      <c r="I268" s="1"/>
      <c r="J268" s="1"/>
      <c r="L268" s="1"/>
      <c r="N268" s="80"/>
      <c r="O268" s="106">
        <v>2</v>
      </c>
      <c r="P268" s="84">
        <f>IF(J232+J233&gt;=L232+L233,I233,M233)</f>
        <v>4</v>
      </c>
      <c r="Q268" s="84" t="str">
        <f>IF(J232+J233&gt;=L232+L233,I232,M232)</f>
        <v>Sporting</v>
      </c>
      <c r="R268" s="84">
        <f>IF(J232+J233&gt;=L232+L233,AD261,AD262)</f>
        <v>281015261336</v>
      </c>
      <c r="S268" s="84"/>
      <c r="T268" s="84">
        <v>2</v>
      </c>
      <c r="U268" s="84">
        <f>LARGE($R267:$R268,T268)</f>
        <v>281015261336</v>
      </c>
      <c r="V268" s="84"/>
      <c r="W268" s="84">
        <f>MATCH(U268,R267:R268,0)</f>
        <v>2</v>
      </c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84"/>
    </row>
    <row r="269" spans="1:38" s="2" customFormat="1" x14ac:dyDescent="0.2">
      <c r="A269" s="80"/>
      <c r="B269" s="82"/>
      <c r="C269" s="80"/>
      <c r="D269" s="80"/>
      <c r="E269" s="80"/>
      <c r="F269" s="80"/>
      <c r="I269" s="1"/>
      <c r="J269" s="1"/>
      <c r="L269" s="1"/>
      <c r="N269" s="80"/>
      <c r="O269" s="106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84"/>
    </row>
    <row r="270" spans="1:38" s="2" customFormat="1" x14ac:dyDescent="0.2">
      <c r="A270" s="80"/>
      <c r="B270" s="82"/>
      <c r="C270" s="80"/>
      <c r="D270" s="80"/>
      <c r="E270" s="80"/>
      <c r="F270" s="80"/>
      <c r="I270" s="1"/>
      <c r="J270" s="1"/>
      <c r="L270" s="1"/>
      <c r="N270" s="80"/>
      <c r="O270" s="97" t="s">
        <v>63</v>
      </c>
      <c r="P270" s="148" t="s">
        <v>36</v>
      </c>
      <c r="Q270" s="148" t="s">
        <v>1</v>
      </c>
      <c r="R270" s="148" t="s">
        <v>2</v>
      </c>
      <c r="S270" s="148" t="s">
        <v>3</v>
      </c>
      <c r="T270" s="148" t="s">
        <v>4</v>
      </c>
      <c r="U270" s="148" t="s">
        <v>5</v>
      </c>
      <c r="V270" s="148" t="s">
        <v>6</v>
      </c>
      <c r="W270" s="148" t="s">
        <v>7</v>
      </c>
      <c r="X270" s="148" t="s">
        <v>8</v>
      </c>
      <c r="Y270" s="148" t="s">
        <v>9</v>
      </c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84"/>
    </row>
    <row r="271" spans="1:38" s="2" customFormat="1" x14ac:dyDescent="0.2">
      <c r="A271" s="80"/>
      <c r="B271" s="82"/>
      <c r="C271" s="80"/>
      <c r="D271" s="80"/>
      <c r="E271" s="80"/>
      <c r="F271" s="80"/>
      <c r="I271" s="1"/>
      <c r="J271" s="1"/>
      <c r="L271" s="1"/>
      <c r="N271" s="80"/>
      <c r="O271" s="106">
        <v>1</v>
      </c>
      <c r="P271" s="84">
        <f>VLOOKUP(W267,$O$267:$R$268,2)</f>
        <v>19</v>
      </c>
      <c r="Q271" s="84" t="str">
        <f>VLOOKUP(W267,$O$267:$R$268,3)</f>
        <v>Celta De Vigo</v>
      </c>
      <c r="R271" s="84">
        <f>IF(C251&lt;&gt;"",1,0)</f>
        <v>1</v>
      </c>
      <c r="S271" s="84">
        <f>IF(C251&gt;E251,1,0)</f>
        <v>0</v>
      </c>
      <c r="T271" s="84">
        <f>R271-S271-U271</f>
        <v>1</v>
      </c>
      <c r="U271" s="84">
        <f>IF(C251&lt;E251,1,0)</f>
        <v>0</v>
      </c>
      <c r="V271" s="84">
        <f>C251</f>
        <v>0</v>
      </c>
      <c r="W271" s="84">
        <f>E251</f>
        <v>0</v>
      </c>
      <c r="X271" s="84">
        <f>V271-W271</f>
        <v>0</v>
      </c>
      <c r="Y271" s="84">
        <f>S271*3+T271</f>
        <v>1</v>
      </c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  <c r="AL271" s="84"/>
    </row>
    <row r="272" spans="1:38" s="2" customFormat="1" x14ac:dyDescent="0.2">
      <c r="A272" s="80"/>
      <c r="B272" s="82"/>
      <c r="C272" s="80"/>
      <c r="D272" s="80"/>
      <c r="E272" s="80"/>
      <c r="F272" s="80"/>
      <c r="I272" s="1"/>
      <c r="J272" s="1"/>
      <c r="L272" s="1"/>
      <c r="N272" s="80"/>
      <c r="O272" s="106">
        <v>2</v>
      </c>
      <c r="P272" s="84">
        <f>VLOOKUP(W268,$O$267:$R$268,2)</f>
        <v>4</v>
      </c>
      <c r="Q272" s="84" t="str">
        <f>VLOOKUP(W268,$O$267:$R$268,3)</f>
        <v>Sporting</v>
      </c>
      <c r="R272" s="84">
        <f>IF(E251&lt;&gt;"",1,0)</f>
        <v>1</v>
      </c>
      <c r="S272" s="84">
        <f>IF(E251&gt;C251,1,0)</f>
        <v>0</v>
      </c>
      <c r="T272" s="84">
        <f>R272-S272-U272</f>
        <v>1</v>
      </c>
      <c r="U272" s="84">
        <f>IF(E251&lt;C251,1,0)</f>
        <v>0</v>
      </c>
      <c r="V272" s="84">
        <f>E251</f>
        <v>0</v>
      </c>
      <c r="W272" s="84">
        <f>C251</f>
        <v>0</v>
      </c>
      <c r="X272" s="84">
        <f>V272-W272</f>
        <v>0</v>
      </c>
      <c r="Y272" s="84">
        <f>S272*3+T272</f>
        <v>1</v>
      </c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  <c r="AL272" s="84"/>
    </row>
    <row r="273" spans="1:38" s="2" customFormat="1" x14ac:dyDescent="0.2">
      <c r="A273" s="80"/>
      <c r="B273" s="82"/>
      <c r="C273" s="80"/>
      <c r="D273" s="80"/>
      <c r="E273" s="80"/>
      <c r="F273" s="80"/>
      <c r="I273" s="1"/>
      <c r="J273" s="1"/>
      <c r="L273" s="1"/>
      <c r="N273" s="80"/>
      <c r="O273" s="106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  <c r="AL273" s="84"/>
    </row>
    <row r="274" spans="1:38" s="2" customFormat="1" x14ac:dyDescent="0.2">
      <c r="A274" s="80"/>
      <c r="B274" s="82"/>
      <c r="C274" s="80"/>
      <c r="D274" s="80"/>
      <c r="E274" s="80"/>
      <c r="F274" s="80"/>
      <c r="I274" s="1"/>
      <c r="J274" s="1"/>
      <c r="L274" s="1"/>
      <c r="N274" s="80"/>
      <c r="O274" s="106"/>
      <c r="P274" s="84"/>
      <c r="Q274" s="84"/>
      <c r="R274" s="84"/>
      <c r="S274" s="84"/>
      <c r="T274" s="84"/>
      <c r="U274" s="84" t="s">
        <v>73</v>
      </c>
      <c r="V274" s="84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  <c r="AL274" s="84"/>
    </row>
    <row r="275" spans="1:38" s="2" customFormat="1" x14ac:dyDescent="0.2">
      <c r="A275" s="80"/>
      <c r="B275" s="82"/>
      <c r="C275" s="80"/>
      <c r="D275" s="80"/>
      <c r="E275" s="80"/>
      <c r="F275" s="80"/>
      <c r="G275" s="80"/>
      <c r="H275" s="80"/>
      <c r="I275" s="82"/>
      <c r="J275" s="82"/>
      <c r="K275" s="107"/>
      <c r="L275" s="107"/>
      <c r="M275" s="82"/>
      <c r="N275" s="80"/>
      <c r="O275" s="106"/>
      <c r="P275" s="84"/>
      <c r="Q275" s="84"/>
      <c r="R275" s="84"/>
      <c r="S275" s="84"/>
      <c r="T275" s="84"/>
      <c r="V275" s="84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  <c r="AL275" s="84"/>
    </row>
    <row r="276" spans="1:38" s="2" customFormat="1" x14ac:dyDescent="0.2">
      <c r="A276" s="80"/>
      <c r="B276" s="82"/>
      <c r="C276" s="80"/>
      <c r="D276" s="80"/>
      <c r="E276" s="80"/>
      <c r="F276" s="80"/>
      <c r="G276" s="80"/>
      <c r="H276" s="80"/>
      <c r="I276" s="82"/>
      <c r="J276" s="82"/>
      <c r="K276" s="80"/>
      <c r="L276" s="82"/>
      <c r="M276" s="80"/>
      <c r="N276" s="80"/>
      <c r="O276" s="106">
        <v>1</v>
      </c>
      <c r="P276" s="84">
        <f>IF(C232+C233&lt;=E232+E233,B233,F233)</f>
        <v>21</v>
      </c>
      <c r="Q276" s="84" t="str">
        <f>IF(C232+C233&gt;=E232+E233,F232,B232)</f>
        <v>Torino</v>
      </c>
      <c r="R276" s="84">
        <f>IF(C232+C233&lt;=E232+E233,AD260,AD263)</f>
        <v>210805191279</v>
      </c>
      <c r="S276" s="84"/>
      <c r="T276" s="84">
        <v>1</v>
      </c>
      <c r="U276" s="84">
        <f>LARGE($R276:$R277,T276)</f>
        <v>271017261316</v>
      </c>
      <c r="V276" s="84"/>
      <c r="W276" s="84">
        <f>MATCH(U276,R276:R277,0)</f>
        <v>2</v>
      </c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  <c r="AL276" s="84"/>
    </row>
    <row r="277" spans="1:38" s="2" customFormat="1" x14ac:dyDescent="0.2">
      <c r="A277" s="80"/>
      <c r="B277" s="82"/>
      <c r="C277" s="80"/>
      <c r="D277" s="80"/>
      <c r="E277" s="80"/>
      <c r="F277" s="80"/>
      <c r="G277" s="80"/>
      <c r="H277" s="80"/>
      <c r="I277" s="82"/>
      <c r="J277" s="82"/>
      <c r="K277" s="80"/>
      <c r="L277" s="82"/>
      <c r="M277" s="80"/>
      <c r="N277" s="80"/>
      <c r="O277" s="106">
        <v>2</v>
      </c>
      <c r="P277" s="84">
        <f>IF(J232+J233&lt;=L232+L233,I233,M233)</f>
        <v>9</v>
      </c>
      <c r="Q277" s="84" t="str">
        <f>IF(J232+J233&gt;=L232+L233,M232,1232)</f>
        <v>Beşiktaş</v>
      </c>
      <c r="R277" s="84">
        <f>IF(J232+J233&lt;=L232+L233,AD261,AD262)</f>
        <v>271017261316</v>
      </c>
      <c r="S277" s="84"/>
      <c r="T277" s="84">
        <v>2</v>
      </c>
      <c r="U277" s="84">
        <f>LARGE($R276:$R277,T277)</f>
        <v>210805191279</v>
      </c>
      <c r="V277" s="84"/>
      <c r="W277" s="84">
        <f>MATCH(U277,R276:R277,0)</f>
        <v>1</v>
      </c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  <c r="AL277" s="84"/>
    </row>
    <row r="278" spans="1:38" s="2" customFormat="1" x14ac:dyDescent="0.2">
      <c r="A278" s="80"/>
      <c r="B278" s="82"/>
      <c r="C278" s="82"/>
      <c r="D278" s="107"/>
      <c r="E278" s="107"/>
      <c r="F278" s="82"/>
      <c r="G278" s="80"/>
      <c r="H278" s="80"/>
      <c r="I278" s="82"/>
      <c r="J278" s="82"/>
      <c r="K278" s="107"/>
      <c r="L278" s="107"/>
      <c r="M278" s="82"/>
      <c r="N278" s="80"/>
      <c r="O278" s="106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  <c r="AL278" s="84"/>
    </row>
    <row r="279" spans="1:38" s="2" customFormat="1" x14ac:dyDescent="0.2">
      <c r="A279" s="80"/>
      <c r="B279" s="82"/>
      <c r="C279" s="82"/>
      <c r="D279" s="107"/>
      <c r="E279" s="107"/>
      <c r="F279" s="80"/>
      <c r="G279" s="80"/>
      <c r="H279" s="80"/>
      <c r="I279" s="82"/>
      <c r="J279" s="82"/>
      <c r="K279" s="107"/>
      <c r="L279" s="107"/>
      <c r="M279" s="82"/>
      <c r="N279" s="80"/>
      <c r="O279" s="97" t="s">
        <v>63</v>
      </c>
      <c r="P279" s="148" t="s">
        <v>36</v>
      </c>
      <c r="Q279" s="148" t="s">
        <v>1</v>
      </c>
      <c r="R279" s="148" t="s">
        <v>2</v>
      </c>
      <c r="S279" s="148" t="s">
        <v>3</v>
      </c>
      <c r="T279" s="148" t="s">
        <v>4</v>
      </c>
      <c r="U279" s="148" t="s">
        <v>5</v>
      </c>
      <c r="V279" s="148" t="s">
        <v>6</v>
      </c>
      <c r="W279" s="148" t="s">
        <v>7</v>
      </c>
      <c r="X279" s="148" t="s">
        <v>8</v>
      </c>
      <c r="Y279" s="148" t="s">
        <v>9</v>
      </c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  <c r="AL279" s="84"/>
    </row>
    <row r="280" spans="1:38" s="2" customFormat="1" x14ac:dyDescent="0.2">
      <c r="A280" s="80"/>
      <c r="B280" s="82"/>
      <c r="C280" s="80"/>
      <c r="D280" s="80"/>
      <c r="E280" s="80"/>
      <c r="F280" s="80"/>
      <c r="G280" s="80"/>
      <c r="H280" s="80"/>
      <c r="I280" s="82"/>
      <c r="J280" s="82"/>
      <c r="K280" s="80"/>
      <c r="L280" s="82"/>
      <c r="M280" s="80"/>
      <c r="N280" s="80"/>
      <c r="O280" s="106">
        <v>1</v>
      </c>
      <c r="P280" s="84">
        <f>VLOOKUP(W276,$O$276:$R$277,2)</f>
        <v>9</v>
      </c>
      <c r="Q280" s="84" t="str">
        <f>VLOOKUP(W276,$O$276:$R$277,3)</f>
        <v>Beşiktaş</v>
      </c>
      <c r="R280" s="84">
        <f>IF(C261&lt;&gt;"",1,0)</f>
        <v>1</v>
      </c>
      <c r="S280" s="84">
        <f>IF(C261&gt;E261,1,0)</f>
        <v>1</v>
      </c>
      <c r="T280" s="84">
        <f>R280-S280-U280</f>
        <v>0</v>
      </c>
      <c r="U280" s="84">
        <f>IF(C261&lt;E261,1,0)</f>
        <v>0</v>
      </c>
      <c r="V280" s="84">
        <f>C261</f>
        <v>1</v>
      </c>
      <c r="W280" s="84">
        <f>E261</f>
        <v>0</v>
      </c>
      <c r="X280" s="84">
        <f>V280-W280</f>
        <v>1</v>
      </c>
      <c r="Y280" s="84">
        <f>S280*3+T280</f>
        <v>3</v>
      </c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  <c r="AL280" s="84"/>
    </row>
    <row r="281" spans="1:38" s="2" customFormat="1" x14ac:dyDescent="0.2">
      <c r="A281" s="80"/>
      <c r="B281" s="82"/>
      <c r="C281" s="80"/>
      <c r="D281" s="80"/>
      <c r="E281" s="80"/>
      <c r="F281" s="80"/>
      <c r="G281" s="80"/>
      <c r="H281" s="80"/>
      <c r="I281" s="82"/>
      <c r="J281" s="82"/>
      <c r="K281" s="80"/>
      <c r="L281" s="82"/>
      <c r="M281" s="80"/>
      <c r="N281" s="80"/>
      <c r="O281" s="108">
        <v>2</v>
      </c>
      <c r="P281" s="84">
        <f>VLOOKUP(W277,$O$276:$R$277,2)</f>
        <v>21</v>
      </c>
      <c r="Q281" s="84" t="str">
        <f>VLOOKUP(W277,$O$276:$R$277,3)</f>
        <v>Torino</v>
      </c>
      <c r="R281" s="84">
        <f>IF(E261&lt;&gt;"",1,0)</f>
        <v>1</v>
      </c>
      <c r="S281" s="84">
        <f>IF(E261&gt;C261,1,0)</f>
        <v>0</v>
      </c>
      <c r="T281" s="84">
        <f>R281-S281-U281</f>
        <v>0</v>
      </c>
      <c r="U281" s="84">
        <f>IF(E261&lt;C261,1,0)</f>
        <v>1</v>
      </c>
      <c r="V281" s="84">
        <f>E261</f>
        <v>0</v>
      </c>
      <c r="W281" s="84">
        <f>C261</f>
        <v>1</v>
      </c>
      <c r="X281" s="84">
        <f>V281-W281</f>
        <v>-1</v>
      </c>
      <c r="Y281" s="84">
        <f>S281*3+T281</f>
        <v>0</v>
      </c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84"/>
    </row>
    <row r="282" spans="1:38" s="2" customFormat="1" x14ac:dyDescent="0.2">
      <c r="A282" s="80"/>
      <c r="B282" s="82"/>
      <c r="C282" s="82"/>
      <c r="D282" s="107"/>
      <c r="E282" s="107"/>
      <c r="F282" s="82"/>
      <c r="G282" s="80"/>
      <c r="H282" s="80"/>
      <c r="I282" s="82"/>
      <c r="J282" s="82"/>
      <c r="K282" s="107"/>
      <c r="L282" s="107"/>
      <c r="M282" s="82"/>
      <c r="N282" s="80"/>
      <c r="O282" s="106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84"/>
    </row>
    <row r="283" spans="1:38" s="2" customFormat="1" x14ac:dyDescent="0.2">
      <c r="A283" s="80"/>
      <c r="B283" s="82"/>
      <c r="C283" s="80"/>
      <c r="D283" s="80"/>
      <c r="E283" s="80"/>
      <c r="F283" s="80"/>
      <c r="G283" s="80"/>
      <c r="H283" s="80"/>
      <c r="I283" s="82"/>
      <c r="J283" s="82"/>
      <c r="K283" s="107"/>
      <c r="L283" s="107"/>
      <c r="M283" s="82"/>
      <c r="N283" s="80"/>
      <c r="O283" s="80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</row>
    <row r="284" spans="1:38" s="2" customFormat="1" x14ac:dyDescent="0.2">
      <c r="A284" s="80"/>
      <c r="B284" s="82"/>
      <c r="C284" s="80"/>
      <c r="D284" s="80"/>
      <c r="E284" s="80"/>
      <c r="F284" s="80"/>
      <c r="G284" s="80"/>
      <c r="H284" s="80"/>
      <c r="I284" s="82"/>
      <c r="J284" s="82"/>
      <c r="K284" s="80"/>
      <c r="L284" s="82"/>
      <c r="M284" s="80"/>
      <c r="N284" s="80"/>
      <c r="O284" s="80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</row>
  </sheetData>
  <sheetProtection algorithmName="SHA-512" hashValue="Y1Agva/ih1aWwB7lTbUP3t3/rjLddISB57Qj/fDLZtlbbpuPIyH98d+L6IWCnxyYMEvDOCp0HulSZMMOy7Wfhw==" saltValue="1nG6wbMFSkOmUoMmqbA1LA==" spinCount="100000" sheet="1" objects="1" scenarios="1" selectLockedCells="1" selectUnlockedCells="1"/>
  <mergeCells count="9">
    <mergeCell ref="Q181:Q191"/>
    <mergeCell ref="Q196:Q206"/>
    <mergeCell ref="B247:F247"/>
    <mergeCell ref="B2:N2"/>
    <mergeCell ref="B3:F3"/>
    <mergeCell ref="I3:M3"/>
    <mergeCell ref="G177:H177"/>
    <mergeCell ref="G210:H210"/>
    <mergeCell ref="G228:H228"/>
  </mergeCells>
  <conditionalFormatting sqref="B181">
    <cfRule type="expression" dxfId="2" priority="3">
      <formula>$C$181+$C$182&gt;$E$181+$E$182</formula>
    </cfRule>
  </conditionalFormatting>
  <conditionalFormatting sqref="F181">
    <cfRule type="expression" dxfId="1" priority="2">
      <formula>$E$181+$E$182&gt;$C$181+$C$182</formula>
    </cfRule>
  </conditionalFormatting>
  <conditionalFormatting sqref="E182 C182">
    <cfRule type="expression" dxfId="0" priority="1">
      <formula>IF($B$180="ok",$C$181=$E$181)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5"/>
    <col min="3" max="3" width="14.85546875" style="25" bestFit="1" customWidth="1"/>
    <col min="4" max="8" width="9.140625" style="25"/>
    <col min="9" max="9" width="10.28515625" style="25" bestFit="1" customWidth="1"/>
    <col min="10" max="12" width="9.140625" style="25"/>
    <col min="13" max="16" width="9.140625" style="25" customWidth="1"/>
    <col min="17" max="17" width="15.42578125" style="25" customWidth="1"/>
    <col min="18" max="24" width="9.140625" style="25" customWidth="1"/>
    <col min="25" max="25" width="7.140625" style="25" customWidth="1"/>
    <col min="26" max="26" width="53.5703125" style="25" customWidth="1"/>
    <col min="27" max="38" width="9.140625" style="25" customWidth="1"/>
    <col min="39" max="39" width="13.5703125" style="25" customWidth="1"/>
    <col min="40" max="77" width="9.140625" style="25" customWidth="1"/>
    <col min="78" max="78" width="14.85546875" style="25" customWidth="1"/>
    <col min="79" max="87" width="9.140625" style="25" customWidth="1"/>
    <col min="88" max="88" width="12.42578125" style="25" customWidth="1"/>
    <col min="89" max="89" width="9.140625" style="25" customWidth="1"/>
    <col min="90" max="90" width="12.28515625" style="25" customWidth="1"/>
    <col min="91" max="154" width="9.140625" style="25" customWidth="1"/>
    <col min="155" max="16384" width="9.140625" style="25"/>
  </cols>
  <sheetData>
    <row r="2" spans="2:93" ht="23.25" x14ac:dyDescent="0.35">
      <c r="B2" s="151" t="s">
        <v>51</v>
      </c>
      <c r="C2" s="151"/>
      <c r="D2" s="151"/>
      <c r="E2" s="151"/>
      <c r="F2" s="151"/>
      <c r="G2" s="151"/>
      <c r="H2" s="151"/>
      <c r="I2" s="151"/>
      <c r="J2" s="151"/>
      <c r="K2" s="151"/>
      <c r="L2" s="4"/>
      <c r="M2" s="4"/>
      <c r="N2" s="4"/>
      <c r="O2" s="4"/>
      <c r="P2" s="152" t="s">
        <v>38</v>
      </c>
      <c r="Q2" s="152"/>
      <c r="R2" s="152"/>
      <c r="S2" s="152"/>
      <c r="T2" s="152"/>
      <c r="U2" s="152"/>
      <c r="V2" s="152"/>
      <c r="W2" s="152"/>
      <c r="X2" s="152"/>
      <c r="Y2" s="152"/>
      <c r="Z2" s="4"/>
      <c r="AA2" s="151" t="s">
        <v>39</v>
      </c>
      <c r="AB2" s="153"/>
      <c r="AC2" s="153"/>
      <c r="AD2" s="153"/>
      <c r="AE2" s="153"/>
      <c r="AF2" s="153"/>
      <c r="AG2" s="153"/>
      <c r="AH2" s="153"/>
      <c r="AI2" s="153"/>
      <c r="AJ2" s="153"/>
      <c r="AK2" s="4"/>
      <c r="AL2" s="151" t="s">
        <v>34</v>
      </c>
      <c r="AM2" s="153"/>
      <c r="AN2" s="153"/>
      <c r="AO2" s="153"/>
      <c r="AP2" s="153"/>
      <c r="AQ2" s="153"/>
      <c r="AR2" s="153"/>
      <c r="AS2" s="153"/>
      <c r="AT2" s="153"/>
      <c r="AU2" s="153"/>
      <c r="AV2" s="4"/>
      <c r="AW2" s="151" t="s">
        <v>35</v>
      </c>
      <c r="AX2" s="153"/>
      <c r="AY2" s="153"/>
      <c r="AZ2" s="153"/>
      <c r="BA2" s="153"/>
      <c r="BB2" s="153"/>
      <c r="BC2" s="153"/>
      <c r="BD2" s="153"/>
      <c r="BE2" s="153"/>
      <c r="BF2" s="17"/>
      <c r="BG2" s="4"/>
      <c r="BH2" s="4"/>
      <c r="BI2" s="151" t="s">
        <v>37</v>
      </c>
      <c r="BJ2" s="151"/>
      <c r="BK2" s="151"/>
      <c r="BL2" s="151"/>
      <c r="BM2" s="151"/>
      <c r="BN2" s="151"/>
      <c r="BO2" s="151"/>
      <c r="BP2" s="151"/>
      <c r="BQ2" s="151"/>
      <c r="BR2" s="151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str">
        <f>Classificação!P9</f>
        <v> Atalanta</v>
      </c>
      <c r="R6" s="11">
        <f>Classificação!Q9</f>
        <v>10</v>
      </c>
      <c r="S6" s="11">
        <f>Classificação!R9</f>
        <v>6</v>
      </c>
      <c r="T6" s="11">
        <f>Classificação!S9</f>
        <v>2</v>
      </c>
      <c r="U6" s="11">
        <f>Classificação!T9</f>
        <v>2</v>
      </c>
      <c r="V6" s="11">
        <f>Classificação!U9</f>
        <v>17</v>
      </c>
      <c r="W6" s="11">
        <f>Classificação!V9</f>
        <v>10</v>
      </c>
      <c r="X6" s="11">
        <f>Classificação!W9</f>
        <v>7</v>
      </c>
      <c r="Y6" s="11">
        <f>Classificação!X9</f>
        <v>20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str">
        <f t="shared" ref="BZ6:BZ23" si="1">Q6</f>
        <v> Atalanta</v>
      </c>
      <c r="CA6" s="11">
        <f>R6+AN6+AY6+BK6</f>
        <v>10</v>
      </c>
      <c r="CB6" s="11">
        <f t="shared" ref="CB6:CH23" si="2">S6+AO6+AZ6+BL6</f>
        <v>6</v>
      </c>
      <c r="CC6" s="11">
        <f t="shared" si="2"/>
        <v>2</v>
      </c>
      <c r="CD6" s="11">
        <f t="shared" si="2"/>
        <v>2</v>
      </c>
      <c r="CE6" s="11">
        <f t="shared" si="2"/>
        <v>17</v>
      </c>
      <c r="CF6" s="11">
        <f t="shared" si="2"/>
        <v>10</v>
      </c>
      <c r="CG6" s="11">
        <f t="shared" si="2"/>
        <v>7</v>
      </c>
      <c r="CH6" s="11">
        <f t="shared" si="2"/>
        <v>20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3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4">VLOOKUP(CO7,$BY$6:$CH$23,2)</f>
        <v>#REF!</v>
      </c>
      <c r="D7" s="11" t="e">
        <f t="shared" ref="D7:D23" si="5">VLOOKUP(CO7,$BY$6:$CH$23,3)</f>
        <v>#REF!</v>
      </c>
      <c r="E7" s="11" t="e">
        <f t="shared" ref="E7:E23" si="6">VLOOKUP(CO7,$BY$6:$CH$23,4)</f>
        <v>#REF!</v>
      </c>
      <c r="F7" s="11" t="e">
        <f t="shared" ref="F7:F23" si="7">D7-E7-G7</f>
        <v>#REF!</v>
      </c>
      <c r="G7" s="11" t="e">
        <f t="shared" ref="G7:G23" si="8">VLOOKUP(CO7,$BY$6:$CH$23,6)</f>
        <v>#REF!</v>
      </c>
      <c r="H7" s="11" t="e">
        <f t="shared" ref="H7:H23" si="9">VLOOKUP(CO7,$BY$6:$CH$23,7)</f>
        <v>#REF!</v>
      </c>
      <c r="I7" s="11" t="e">
        <f t="shared" ref="I7:I23" si="10">VLOOKUP(CO7,$BY$6:$CH$23,8)</f>
        <v>#REF!</v>
      </c>
      <c r="J7" s="11" t="e">
        <f t="shared" ref="J7:J23" si="11">H7-I7</f>
        <v>#REF!</v>
      </c>
      <c r="K7" s="11" t="e">
        <f t="shared" ref="K7:K23" si="12">E7*3+F7</f>
        <v>#REF!</v>
      </c>
      <c r="L7" s="4"/>
      <c r="M7" s="4"/>
      <c r="N7" s="4"/>
      <c r="O7" s="4"/>
      <c r="P7" s="11" t="e">
        <f>#REF!</f>
        <v>#REF!</v>
      </c>
      <c r="Q7" s="11" t="str">
        <f>Classificação!P10</f>
        <v>Hoffenheim</v>
      </c>
      <c r="R7" s="11">
        <f>Classificação!Q10</f>
        <v>10</v>
      </c>
      <c r="S7" s="11">
        <f>Classificação!R10</f>
        <v>3</v>
      </c>
      <c r="T7" s="11">
        <f>Classificação!S10</f>
        <v>2</v>
      </c>
      <c r="U7" s="11">
        <f>Classificação!T10</f>
        <v>5</v>
      </c>
      <c r="V7" s="11">
        <f>Classificação!U10</f>
        <v>10</v>
      </c>
      <c r="W7" s="11">
        <f>Classificação!V10</f>
        <v>14</v>
      </c>
      <c r="X7" s="11">
        <f>Classificação!W10</f>
        <v>-4</v>
      </c>
      <c r="Y7" s="11">
        <f>Classificação!X10</f>
        <v>11</v>
      </c>
      <c r="Z7" s="5" t="e">
        <f t="shared" ref="Z7:Z23" si="13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14">IF(ISERROR(VLOOKUP(AL7,$AL$27:$AN$34,3,FALSE)),0,(VLOOKUP(AL7,$AL$27:$AN$34,3,FALSE)))</f>
        <v>0</v>
      </c>
      <c r="AO7" s="15">
        <f t="shared" ref="AO7:AO23" si="15">IF(ISERROR(VLOOKUP(AL7,$AL$27:$AO$34,4,FALSE)),0,(VLOOKUP(AL7,$AL$27:$AO$34,4,FALSE)))</f>
        <v>0</v>
      </c>
      <c r="AP7" s="15">
        <f t="shared" ref="AP7:AP23" si="16">AN7-AO7-AQ7</f>
        <v>0</v>
      </c>
      <c r="AQ7" s="15">
        <f t="shared" ref="AQ7:AQ23" si="17">IF(ISERROR(VLOOKUP(AL7,$AL$27:$AQ$34,6,FALSE)),0,(VLOOKUP(AL7,$AL$27:$AQ$34,6,FALSE)))</f>
        <v>0</v>
      </c>
      <c r="AR7" s="15">
        <f t="shared" ref="AR7:AR23" si="18">IF(ISERROR(VLOOKUP(AL7,$AL$27:$AR$34,7,FALSE)),0,(VLOOKUP(AL7,$AL$27:$AR$34,7,FALSE)))</f>
        <v>0</v>
      </c>
      <c r="AS7" s="15">
        <f t="shared" ref="AS7:AS23" si="19">IF(ISERROR(VLOOKUP(AL7,$AL$27:$AS$34,8,FALSE)),0,(VLOOKUP(AL7,$AL$27:$AS$34,8,FALSE)))</f>
        <v>0</v>
      </c>
      <c r="AT7" s="15">
        <f t="shared" ref="AT7:AT23" si="20">AR7-AS7</f>
        <v>0</v>
      </c>
      <c r="AU7" s="15">
        <f t="shared" ref="AU7:AU23" si="21">AO7*3+AP7</f>
        <v>0</v>
      </c>
      <c r="AV7" s="5"/>
      <c r="AW7" s="14">
        <v>2</v>
      </c>
      <c r="AX7" s="15">
        <f t="shared" ref="AX7:AX23" si="22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3">IF(ISERROR(VLOOKUP(AW7,$AW$26:$BF$29,4,FALSE)),0,(VLOOKUP(AW7,$AW$26:$BF$29,4,FALSE)))</f>
        <v>0</v>
      </c>
      <c r="BA7" s="15">
        <f t="shared" ref="BA7:BA23" si="24">AY7-AZ7-BB7</f>
        <v>0</v>
      </c>
      <c r="BB7" s="19">
        <f t="shared" ref="BB7:BB23" si="25">IF(ISERROR(VLOOKUP(AW7,$AW$26:$BF$29,6,FALSE)),0,(VLOOKUP(AW7,$AW$26:$BF$29,6,FALSE)))</f>
        <v>0</v>
      </c>
      <c r="BC7" s="19">
        <f t="shared" ref="BC7:BC23" si="26">IF(ISERROR(VLOOKUP(AW7,$AW$26:$BF$29,7,FALSE)),0,(VLOOKUP(AW7,$AW$26:$BF$29,7,FALSE)))</f>
        <v>0</v>
      </c>
      <c r="BD7" s="19">
        <f t="shared" ref="BD7:BD23" si="27">IF(ISERROR(VLOOKUP(AW7,$AW$26:$BF$29,8,FALSE)),0,(VLOOKUP(AW7,$AW$26:$BF$29,8,FALSE)))</f>
        <v>0</v>
      </c>
      <c r="BE7" s="15">
        <f t="shared" ref="BE7:BE23" si="28">BC7-BD7</f>
        <v>0</v>
      </c>
      <c r="BF7" s="15">
        <f t="shared" ref="BF7:BF23" si="29">AZ7*3+BA7</f>
        <v>0</v>
      </c>
      <c r="BG7" s="5"/>
      <c r="BH7" s="5"/>
      <c r="BI7" s="14">
        <v>2</v>
      </c>
      <c r="BJ7" s="15">
        <f>IF(ISERROR(VLOOKUP(BI7,$BI$26:$BK$29,2,FALSE)),0,(VLOOKUP(BI7,$BI$26:$BK$29,2,FALSE)))</f>
        <v>0</v>
      </c>
      <c r="BK7" s="24">
        <f t="shared" ref="BK7:BK23" si="30">IF(ISERROR(VLOOKUP(BI7,$BI$26:$BR$27,3,FALSE)),0,(VLOOKUP(BI7,$BI$26:$BR$27,3,FALSE)))</f>
        <v>0</v>
      </c>
      <c r="BL7" s="19">
        <f t="shared" ref="BL7:BL23" si="31">IF(ISERROR(VLOOKUP(BI7,$BI$26:$BR$27,4,FALSE)),0,(VLOOKUP(BI7,$BI$26:$BR$27,4,FALSE)))</f>
        <v>0</v>
      </c>
      <c r="BM7" s="15">
        <f t="shared" ref="BM7:BM23" si="32">BK7-BL7-BN7</f>
        <v>0</v>
      </c>
      <c r="BN7" s="19">
        <f t="shared" ref="BN7:BN23" si="33">IF(ISERROR(VLOOKUP(BI7,$BI$26:$BR$27,6,FALSE)),0,(VLOOKUP(BI7,$BI$26:$BR$27,6,FALSE)))</f>
        <v>0</v>
      </c>
      <c r="BO7" s="19">
        <f t="shared" ref="BO7:BO23" si="34">IF(ISERROR(VLOOKUP(BI7,$BI$26:$BR$27,7,FALSE)),0,(VLOOKUP(BI7,$BI$26:$BR$27,7,FALSE)))</f>
        <v>0</v>
      </c>
      <c r="BP7" s="19">
        <f t="shared" ref="BP7:BP23" si="35">IF(ISERROR(VLOOKUP(BI7,$BI$26:$BR$27,8,FALSE)),0,(VLOOKUP(BI7,$BI$26:$BR$27,8,FALSE)))</f>
        <v>0</v>
      </c>
      <c r="BQ7" s="15">
        <f t="shared" ref="BQ7:BQ23" si="36">BO7-BP7</f>
        <v>0</v>
      </c>
      <c r="BR7" s="15">
        <f t="shared" ref="BR7:BR23" si="37">BL7*3+BM7</f>
        <v>0</v>
      </c>
      <c r="BS7" s="5"/>
      <c r="BT7" s="5"/>
      <c r="BU7" s="5"/>
      <c r="BV7" s="5"/>
      <c r="BW7" s="5"/>
      <c r="BX7" s="4"/>
      <c r="BY7" s="11" t="e">
        <f t="shared" ref="BY7:BY23" si="38">P7</f>
        <v>#REF!</v>
      </c>
      <c r="BZ7" s="11" t="str">
        <f t="shared" si="1"/>
        <v>Hoffenheim</v>
      </c>
      <c r="CA7" s="11">
        <f t="shared" ref="CA7:CA23" si="39">R7+AN7+AY7+BK7</f>
        <v>10</v>
      </c>
      <c r="CB7" s="11">
        <f t="shared" si="2"/>
        <v>3</v>
      </c>
      <c r="CC7" s="11">
        <f t="shared" si="2"/>
        <v>2</v>
      </c>
      <c r="CD7" s="11">
        <f t="shared" si="2"/>
        <v>5</v>
      </c>
      <c r="CE7" s="11">
        <f t="shared" si="2"/>
        <v>10</v>
      </c>
      <c r="CF7" s="11">
        <f t="shared" si="2"/>
        <v>14</v>
      </c>
      <c r="CG7" s="11">
        <f t="shared" si="2"/>
        <v>-4</v>
      </c>
      <c r="CH7" s="11">
        <f t="shared" si="2"/>
        <v>11</v>
      </c>
      <c r="CI7" s="5"/>
      <c r="CJ7" s="19" t="e">
        <f t="shared" ref="CJ7:CJ23" si="40">(10^10)*CH7+(10^8)*CB7+(10^6)*(50+CG7)+(10^4)*CE7+(10^2)*CA7+(13-BY7)</f>
        <v>#REF!</v>
      </c>
      <c r="CK7" s="21">
        <v>2</v>
      </c>
      <c r="CL7" s="5" t="e">
        <f t="shared" si="3"/>
        <v>#REF!</v>
      </c>
      <c r="CM7" s="4"/>
      <c r="CN7" s="21">
        <v>2</v>
      </c>
      <c r="CO7" s="5" t="e">
        <f t="shared" ref="CO7:CO23" si="41">MATCH(CL7,$CJ$6:$CJ$23,0)</f>
        <v>#REF!</v>
      </c>
    </row>
    <row r="8" spans="2:93" x14ac:dyDescent="0.25">
      <c r="B8" s="18" t="s">
        <v>12</v>
      </c>
      <c r="C8" s="18" t="e">
        <f t="shared" si="4"/>
        <v>#REF!</v>
      </c>
      <c r="D8" s="18" t="e">
        <f t="shared" si="5"/>
        <v>#REF!</v>
      </c>
      <c r="E8" s="18" t="e">
        <f t="shared" si="6"/>
        <v>#REF!</v>
      </c>
      <c r="F8" s="18" t="e">
        <f t="shared" si="7"/>
        <v>#REF!</v>
      </c>
      <c r="G8" s="18" t="e">
        <f t="shared" si="8"/>
        <v>#REF!</v>
      </c>
      <c r="H8" s="18" t="e">
        <f t="shared" si="9"/>
        <v>#REF!</v>
      </c>
      <c r="I8" s="18" t="e">
        <f t="shared" si="10"/>
        <v>#REF!</v>
      </c>
      <c r="J8" s="18" t="e">
        <f t="shared" si="11"/>
        <v>#REF!</v>
      </c>
      <c r="K8" s="18" t="e">
        <f t="shared" si="12"/>
        <v>#REF!</v>
      </c>
      <c r="L8" s="4"/>
      <c r="M8" s="4"/>
      <c r="N8" s="4"/>
      <c r="O8" s="4"/>
      <c r="P8" s="11" t="e">
        <f>#REF!</f>
        <v>#REF!</v>
      </c>
      <c r="Q8" s="11" t="str">
        <f>Classificação!P11</f>
        <v>Real Sociedad</v>
      </c>
      <c r="R8" s="11">
        <f>Classificação!Q11</f>
        <v>10</v>
      </c>
      <c r="S8" s="11">
        <f>Classificação!R11</f>
        <v>2</v>
      </c>
      <c r="T8" s="11">
        <f>Classificação!S11</f>
        <v>3</v>
      </c>
      <c r="U8" s="11">
        <f>Classificação!T11</f>
        <v>5</v>
      </c>
      <c r="V8" s="11">
        <f>Classificação!U11</f>
        <v>7</v>
      </c>
      <c r="W8" s="11">
        <f>Classificação!V11</f>
        <v>15</v>
      </c>
      <c r="X8" s="11">
        <f>Classificação!W11</f>
        <v>-8</v>
      </c>
      <c r="Y8" s="11">
        <f>Classificação!X11</f>
        <v>9</v>
      </c>
      <c r="Z8" s="5" t="e">
        <f t="shared" si="13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14"/>
        <v>0</v>
      </c>
      <c r="AO8" s="15">
        <f t="shared" si="15"/>
        <v>0</v>
      </c>
      <c r="AP8" s="15">
        <f t="shared" si="16"/>
        <v>0</v>
      </c>
      <c r="AQ8" s="15">
        <f t="shared" si="17"/>
        <v>0</v>
      </c>
      <c r="AR8" s="15">
        <f t="shared" si="18"/>
        <v>0</v>
      </c>
      <c r="AS8" s="15">
        <f t="shared" si="19"/>
        <v>0</v>
      </c>
      <c r="AT8" s="15">
        <f t="shared" si="20"/>
        <v>0</v>
      </c>
      <c r="AU8" s="15">
        <f t="shared" si="21"/>
        <v>0</v>
      </c>
      <c r="AV8" s="5"/>
      <c r="AW8" s="14">
        <v>3</v>
      </c>
      <c r="AX8" s="15">
        <f t="shared" si="22"/>
        <v>0</v>
      </c>
      <c r="AY8" s="19">
        <f t="shared" ref="AY8:AY23" si="42">IF(ISERROR(VLOOKUP(AW8,$AW$26:$BF$29,3,FALSE)),0,(VLOOKUP(AW8,$AW$26:$BF$29,3,FALSE)))</f>
        <v>0</v>
      </c>
      <c r="AZ8" s="19">
        <f t="shared" si="23"/>
        <v>0</v>
      </c>
      <c r="BA8" s="15">
        <f t="shared" si="24"/>
        <v>0</v>
      </c>
      <c r="BB8" s="19">
        <f t="shared" si="25"/>
        <v>0</v>
      </c>
      <c r="BC8" s="19">
        <f t="shared" si="26"/>
        <v>0</v>
      </c>
      <c r="BD8" s="19">
        <f t="shared" si="27"/>
        <v>0</v>
      </c>
      <c r="BE8" s="15">
        <f t="shared" si="28"/>
        <v>0</v>
      </c>
      <c r="BF8" s="15">
        <f t="shared" si="29"/>
        <v>0</v>
      </c>
      <c r="BG8" s="5"/>
      <c r="BH8" s="5"/>
      <c r="BI8" s="14">
        <v>3</v>
      </c>
      <c r="BJ8" s="15">
        <f t="shared" ref="BJ8:BJ23" si="43">IF(ISERROR(VLOOKUP(BI8,$BI$26:$BK$29,2,FALSE)),0,(VLOOKUP(BI8,$BI$26:$BK$29,2,FALSE)))</f>
        <v>0</v>
      </c>
      <c r="BK8" s="24">
        <f t="shared" si="30"/>
        <v>0</v>
      </c>
      <c r="BL8" s="19">
        <f t="shared" si="31"/>
        <v>0</v>
      </c>
      <c r="BM8" s="15">
        <f t="shared" si="32"/>
        <v>0</v>
      </c>
      <c r="BN8" s="19">
        <f t="shared" si="33"/>
        <v>0</v>
      </c>
      <c r="BO8" s="19">
        <f t="shared" si="34"/>
        <v>0</v>
      </c>
      <c r="BP8" s="19">
        <f t="shared" si="35"/>
        <v>0</v>
      </c>
      <c r="BQ8" s="15">
        <f t="shared" si="36"/>
        <v>0</v>
      </c>
      <c r="BR8" s="15">
        <f t="shared" si="37"/>
        <v>0</v>
      </c>
      <c r="BS8" s="5"/>
      <c r="BT8" s="5"/>
      <c r="BU8" s="5"/>
      <c r="BV8" s="5"/>
      <c r="BW8" s="5"/>
      <c r="BX8" s="4"/>
      <c r="BY8" s="11" t="e">
        <f t="shared" si="38"/>
        <v>#REF!</v>
      </c>
      <c r="BZ8" s="11" t="str">
        <f t="shared" si="1"/>
        <v>Real Sociedad</v>
      </c>
      <c r="CA8" s="11">
        <f t="shared" si="39"/>
        <v>10</v>
      </c>
      <c r="CB8" s="11">
        <f t="shared" si="2"/>
        <v>2</v>
      </c>
      <c r="CC8" s="11">
        <f t="shared" si="2"/>
        <v>3</v>
      </c>
      <c r="CD8" s="11">
        <f t="shared" si="2"/>
        <v>5</v>
      </c>
      <c r="CE8" s="11">
        <f t="shared" si="2"/>
        <v>7</v>
      </c>
      <c r="CF8" s="11">
        <f t="shared" si="2"/>
        <v>15</v>
      </c>
      <c r="CG8" s="11">
        <f t="shared" si="2"/>
        <v>-8</v>
      </c>
      <c r="CH8" s="11">
        <f t="shared" si="2"/>
        <v>9</v>
      </c>
      <c r="CI8" s="5"/>
      <c r="CJ8" s="19" t="e">
        <f t="shared" si="40"/>
        <v>#REF!</v>
      </c>
      <c r="CK8" s="21">
        <v>3</v>
      </c>
      <c r="CL8" s="5" t="e">
        <f t="shared" si="3"/>
        <v>#REF!</v>
      </c>
      <c r="CM8" s="4"/>
      <c r="CN8" s="21">
        <v>3</v>
      </c>
      <c r="CO8" s="5" t="e">
        <f t="shared" si="41"/>
        <v>#REF!</v>
      </c>
    </row>
    <row r="9" spans="2:93" x14ac:dyDescent="0.25">
      <c r="B9" s="11" t="s">
        <v>13</v>
      </c>
      <c r="C9" s="11" t="e">
        <f t="shared" si="4"/>
        <v>#REF!</v>
      </c>
      <c r="D9" s="11" t="e">
        <f t="shared" si="5"/>
        <v>#REF!</v>
      </c>
      <c r="E9" s="11" t="e">
        <f t="shared" si="6"/>
        <v>#REF!</v>
      </c>
      <c r="F9" s="11" t="e">
        <f t="shared" si="7"/>
        <v>#REF!</v>
      </c>
      <c r="G9" s="11" t="e">
        <f t="shared" si="8"/>
        <v>#REF!</v>
      </c>
      <c r="H9" s="11" t="e">
        <f t="shared" si="9"/>
        <v>#REF!</v>
      </c>
      <c r="I9" s="11" t="e">
        <f t="shared" si="10"/>
        <v>#REF!</v>
      </c>
      <c r="J9" s="11" t="e">
        <f t="shared" si="11"/>
        <v>#REF!</v>
      </c>
      <c r="K9" s="11" t="e">
        <f t="shared" si="12"/>
        <v>#REF!</v>
      </c>
      <c r="L9" s="4"/>
      <c r="M9" s="4"/>
      <c r="N9" s="4"/>
      <c r="O9" s="4"/>
      <c r="P9" s="11" t="e">
        <f>#REF!</f>
        <v>#REF!</v>
      </c>
      <c r="Q9" s="11" t="str">
        <f>Classificação!P12</f>
        <v>Sporting</v>
      </c>
      <c r="R9" s="11">
        <f>Classificação!Q12</f>
        <v>10</v>
      </c>
      <c r="S9" s="11">
        <f>Classificação!R12</f>
        <v>6</v>
      </c>
      <c r="T9" s="11">
        <f>Classificação!S12</f>
        <v>3</v>
      </c>
      <c r="U9" s="11">
        <f>Classificação!T12</f>
        <v>1</v>
      </c>
      <c r="V9" s="11">
        <f>Classificação!U12</f>
        <v>18</v>
      </c>
      <c r="W9" s="11">
        <f>Classificação!V12</f>
        <v>9</v>
      </c>
      <c r="X9" s="11">
        <f>Classificação!W12</f>
        <v>9</v>
      </c>
      <c r="Y9" s="11">
        <f>Classificação!X12</f>
        <v>21</v>
      </c>
      <c r="Z9" s="5" t="e">
        <f t="shared" si="13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14"/>
        <v>0</v>
      </c>
      <c r="AO9" s="15">
        <f t="shared" si="15"/>
        <v>0</v>
      </c>
      <c r="AP9" s="15">
        <f t="shared" si="16"/>
        <v>0</v>
      </c>
      <c r="AQ9" s="15">
        <f t="shared" si="17"/>
        <v>0</v>
      </c>
      <c r="AR9" s="15">
        <f t="shared" si="18"/>
        <v>0</v>
      </c>
      <c r="AS9" s="15">
        <f t="shared" si="19"/>
        <v>0</v>
      </c>
      <c r="AT9" s="15">
        <f t="shared" si="20"/>
        <v>0</v>
      </c>
      <c r="AU9" s="15">
        <f t="shared" si="21"/>
        <v>0</v>
      </c>
      <c r="AV9" s="5"/>
      <c r="AW9" s="14">
        <v>4</v>
      </c>
      <c r="AX9" s="15">
        <f t="shared" si="22"/>
        <v>0</v>
      </c>
      <c r="AY9" s="19">
        <f t="shared" si="42"/>
        <v>0</v>
      </c>
      <c r="AZ9" s="19">
        <f t="shared" si="23"/>
        <v>0</v>
      </c>
      <c r="BA9" s="15">
        <f t="shared" si="24"/>
        <v>0</v>
      </c>
      <c r="BB9" s="19">
        <f t="shared" si="25"/>
        <v>0</v>
      </c>
      <c r="BC9" s="19">
        <f t="shared" si="26"/>
        <v>0</v>
      </c>
      <c r="BD9" s="19">
        <f t="shared" si="27"/>
        <v>0</v>
      </c>
      <c r="BE9" s="15">
        <f t="shared" si="28"/>
        <v>0</v>
      </c>
      <c r="BF9" s="15">
        <f t="shared" si="29"/>
        <v>0</v>
      </c>
      <c r="BG9" s="5"/>
      <c r="BH9" s="5"/>
      <c r="BI9" s="14">
        <v>4</v>
      </c>
      <c r="BJ9" s="15">
        <f t="shared" si="43"/>
        <v>0</v>
      </c>
      <c r="BK9" s="24">
        <f t="shared" si="30"/>
        <v>0</v>
      </c>
      <c r="BL9" s="19">
        <f t="shared" si="31"/>
        <v>0</v>
      </c>
      <c r="BM9" s="15">
        <f t="shared" si="32"/>
        <v>0</v>
      </c>
      <c r="BN9" s="19">
        <f t="shared" si="33"/>
        <v>0</v>
      </c>
      <c r="BO9" s="19">
        <f t="shared" si="34"/>
        <v>0</v>
      </c>
      <c r="BP9" s="19">
        <f t="shared" si="35"/>
        <v>0</v>
      </c>
      <c r="BQ9" s="15">
        <f t="shared" si="36"/>
        <v>0</v>
      </c>
      <c r="BR9" s="15">
        <f t="shared" si="37"/>
        <v>0</v>
      </c>
      <c r="BS9" s="5"/>
      <c r="BT9" s="5"/>
      <c r="BU9" s="5"/>
      <c r="BV9" s="5"/>
      <c r="BW9" s="5"/>
      <c r="BX9" s="4"/>
      <c r="BY9" s="11" t="e">
        <f t="shared" si="38"/>
        <v>#REF!</v>
      </c>
      <c r="BZ9" s="11" t="str">
        <f t="shared" si="1"/>
        <v>Sporting</v>
      </c>
      <c r="CA9" s="11">
        <f t="shared" si="39"/>
        <v>10</v>
      </c>
      <c r="CB9" s="11">
        <f t="shared" si="2"/>
        <v>6</v>
      </c>
      <c r="CC9" s="11">
        <f t="shared" si="2"/>
        <v>3</v>
      </c>
      <c r="CD9" s="11">
        <f t="shared" si="2"/>
        <v>1</v>
      </c>
      <c r="CE9" s="11">
        <f t="shared" si="2"/>
        <v>18</v>
      </c>
      <c r="CF9" s="11">
        <f t="shared" si="2"/>
        <v>9</v>
      </c>
      <c r="CG9" s="11">
        <f t="shared" si="2"/>
        <v>9</v>
      </c>
      <c r="CH9" s="11">
        <f t="shared" si="2"/>
        <v>21</v>
      </c>
      <c r="CI9" s="5"/>
      <c r="CJ9" s="19" t="e">
        <f t="shared" si="40"/>
        <v>#REF!</v>
      </c>
      <c r="CK9" s="21">
        <v>4</v>
      </c>
      <c r="CL9" s="5" t="e">
        <f t="shared" si="3"/>
        <v>#REF!</v>
      </c>
      <c r="CM9" s="4"/>
      <c r="CN9" s="21">
        <v>4</v>
      </c>
      <c r="CO9" s="5" t="e">
        <f t="shared" si="41"/>
        <v>#REF!</v>
      </c>
    </row>
    <row r="10" spans="2:93" x14ac:dyDescent="0.25">
      <c r="B10" s="18" t="s">
        <v>14</v>
      </c>
      <c r="C10" s="18" t="e">
        <f t="shared" si="4"/>
        <v>#REF!</v>
      </c>
      <c r="D10" s="18" t="e">
        <f t="shared" si="5"/>
        <v>#REF!</v>
      </c>
      <c r="E10" s="18" t="e">
        <f t="shared" si="6"/>
        <v>#REF!</v>
      </c>
      <c r="F10" s="18" t="e">
        <f t="shared" si="7"/>
        <v>#REF!</v>
      </c>
      <c r="G10" s="18" t="e">
        <f t="shared" si="8"/>
        <v>#REF!</v>
      </c>
      <c r="H10" s="18" t="e">
        <f t="shared" si="9"/>
        <v>#REF!</v>
      </c>
      <c r="I10" s="18" t="e">
        <f t="shared" si="10"/>
        <v>#REF!</v>
      </c>
      <c r="J10" s="18" t="e">
        <f t="shared" si="11"/>
        <v>#REF!</v>
      </c>
      <c r="K10" s="18" t="e">
        <f t="shared" si="12"/>
        <v>#REF!</v>
      </c>
      <c r="L10" s="4"/>
      <c r="M10" s="4"/>
      <c r="N10" s="4"/>
      <c r="O10" s="4"/>
      <c r="P10" s="11" t="e">
        <f>#REF!</f>
        <v>#REF!</v>
      </c>
      <c r="Q10" s="11" t="str">
        <f>Classificação!P13</f>
        <v>Schalke 04</v>
      </c>
      <c r="R10" s="11">
        <f>Classificação!Q13</f>
        <v>10</v>
      </c>
      <c r="S10" s="11">
        <f>Classificação!R13</f>
        <v>5</v>
      </c>
      <c r="T10" s="11">
        <f>Classificação!S13</f>
        <v>2</v>
      </c>
      <c r="U10" s="11">
        <f>Classificação!T13</f>
        <v>3</v>
      </c>
      <c r="V10" s="11">
        <f>Classificação!U13</f>
        <v>13</v>
      </c>
      <c r="W10" s="11">
        <f>Classificação!V13</f>
        <v>7</v>
      </c>
      <c r="X10" s="11">
        <f>Classificação!W13</f>
        <v>6</v>
      </c>
      <c r="Y10" s="11">
        <f>Classificação!X13</f>
        <v>17</v>
      </c>
      <c r="Z10" s="5" t="e">
        <f t="shared" si="13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14"/>
        <v>0</v>
      </c>
      <c r="AO10" s="15">
        <f t="shared" si="15"/>
        <v>0</v>
      </c>
      <c r="AP10" s="15">
        <f t="shared" si="16"/>
        <v>0</v>
      </c>
      <c r="AQ10" s="15">
        <f t="shared" si="17"/>
        <v>0</v>
      </c>
      <c r="AR10" s="15">
        <f t="shared" si="18"/>
        <v>0</v>
      </c>
      <c r="AS10" s="15">
        <f t="shared" si="19"/>
        <v>0</v>
      </c>
      <c r="AT10" s="15">
        <f t="shared" si="20"/>
        <v>0</v>
      </c>
      <c r="AU10" s="15">
        <f t="shared" si="21"/>
        <v>0</v>
      </c>
      <c r="AV10" s="5"/>
      <c r="AW10" s="14">
        <v>5</v>
      </c>
      <c r="AX10" s="15">
        <f t="shared" si="22"/>
        <v>0</v>
      </c>
      <c r="AY10" s="19">
        <f t="shared" si="42"/>
        <v>0</v>
      </c>
      <c r="AZ10" s="19">
        <f t="shared" si="23"/>
        <v>0</v>
      </c>
      <c r="BA10" s="15">
        <f t="shared" si="24"/>
        <v>0</v>
      </c>
      <c r="BB10" s="19">
        <f t="shared" si="25"/>
        <v>0</v>
      </c>
      <c r="BC10" s="19">
        <f t="shared" si="26"/>
        <v>0</v>
      </c>
      <c r="BD10" s="19">
        <f t="shared" si="27"/>
        <v>0</v>
      </c>
      <c r="BE10" s="15">
        <f t="shared" si="28"/>
        <v>0</v>
      </c>
      <c r="BF10" s="15">
        <f t="shared" si="29"/>
        <v>0</v>
      </c>
      <c r="BG10" s="5"/>
      <c r="BH10" s="5"/>
      <c r="BI10" s="14">
        <v>5</v>
      </c>
      <c r="BJ10" s="15">
        <f t="shared" si="43"/>
        <v>0</v>
      </c>
      <c r="BK10" s="24">
        <f t="shared" si="30"/>
        <v>0</v>
      </c>
      <c r="BL10" s="19">
        <f t="shared" si="31"/>
        <v>0</v>
      </c>
      <c r="BM10" s="15">
        <f t="shared" si="32"/>
        <v>0</v>
      </c>
      <c r="BN10" s="19">
        <f t="shared" si="33"/>
        <v>0</v>
      </c>
      <c r="BO10" s="19">
        <f t="shared" si="34"/>
        <v>0</v>
      </c>
      <c r="BP10" s="19">
        <f t="shared" si="35"/>
        <v>0</v>
      </c>
      <c r="BQ10" s="15">
        <f t="shared" si="36"/>
        <v>0</v>
      </c>
      <c r="BR10" s="15">
        <f t="shared" si="37"/>
        <v>0</v>
      </c>
      <c r="BS10" s="5"/>
      <c r="BT10" s="5"/>
      <c r="BU10" s="5"/>
      <c r="BV10" s="5"/>
      <c r="BW10" s="5"/>
      <c r="BX10" s="4"/>
      <c r="BY10" s="11" t="e">
        <f t="shared" si="38"/>
        <v>#REF!</v>
      </c>
      <c r="BZ10" s="11" t="str">
        <f t="shared" si="1"/>
        <v>Schalke 04</v>
      </c>
      <c r="CA10" s="11">
        <f t="shared" si="39"/>
        <v>10</v>
      </c>
      <c r="CB10" s="11">
        <f t="shared" si="2"/>
        <v>5</v>
      </c>
      <c r="CC10" s="11">
        <f t="shared" si="2"/>
        <v>2</v>
      </c>
      <c r="CD10" s="11">
        <f t="shared" si="2"/>
        <v>3</v>
      </c>
      <c r="CE10" s="11">
        <f t="shared" si="2"/>
        <v>13</v>
      </c>
      <c r="CF10" s="11">
        <f t="shared" si="2"/>
        <v>7</v>
      </c>
      <c r="CG10" s="11">
        <f t="shared" si="2"/>
        <v>6</v>
      </c>
      <c r="CH10" s="11">
        <f t="shared" si="2"/>
        <v>17</v>
      </c>
      <c r="CI10" s="5"/>
      <c r="CJ10" s="19" t="e">
        <f t="shared" si="40"/>
        <v>#REF!</v>
      </c>
      <c r="CK10" s="21">
        <v>5</v>
      </c>
      <c r="CL10" s="5" t="e">
        <f t="shared" si="3"/>
        <v>#REF!</v>
      </c>
      <c r="CM10" s="4"/>
      <c r="CN10" s="21">
        <v>5</v>
      </c>
      <c r="CO10" s="5" t="e">
        <f t="shared" si="41"/>
        <v>#REF!</v>
      </c>
    </row>
    <row r="11" spans="2:93" x14ac:dyDescent="0.25">
      <c r="B11" s="11" t="s">
        <v>15</v>
      </c>
      <c r="C11" s="11" t="e">
        <f t="shared" si="4"/>
        <v>#REF!</v>
      </c>
      <c r="D11" s="11" t="e">
        <f t="shared" si="5"/>
        <v>#REF!</v>
      </c>
      <c r="E11" s="11" t="e">
        <f t="shared" si="6"/>
        <v>#REF!</v>
      </c>
      <c r="F11" s="11" t="e">
        <f t="shared" si="7"/>
        <v>#REF!</v>
      </c>
      <c r="G11" s="11" t="e">
        <f t="shared" si="8"/>
        <v>#REF!</v>
      </c>
      <c r="H11" s="11" t="e">
        <f t="shared" si="9"/>
        <v>#REF!</v>
      </c>
      <c r="I11" s="11" t="e">
        <f t="shared" si="10"/>
        <v>#REF!</v>
      </c>
      <c r="J11" s="11" t="e">
        <f t="shared" si="11"/>
        <v>#REF!</v>
      </c>
      <c r="K11" s="11" t="e">
        <f t="shared" si="12"/>
        <v>#REF!</v>
      </c>
      <c r="L11" s="4"/>
      <c r="M11" s="4"/>
      <c r="N11" s="4"/>
      <c r="O11" s="4"/>
      <c r="P11" s="11" t="e">
        <f>#REF!</f>
        <v>#REF!</v>
      </c>
      <c r="Q11" s="11" t="str">
        <f>Classificação!P14</f>
        <v>Galatasaray</v>
      </c>
      <c r="R11" s="11">
        <f>Classificação!Q14</f>
        <v>0</v>
      </c>
      <c r="S11" s="11">
        <f>Classificação!R14</f>
        <v>0</v>
      </c>
      <c r="T11" s="11">
        <f>Classificação!S14</f>
        <v>0</v>
      </c>
      <c r="U11" s="11">
        <f>Classificação!T14</f>
        <v>0</v>
      </c>
      <c r="V11" s="11">
        <f>Classificação!U14</f>
        <v>0</v>
      </c>
      <c r="W11" s="11">
        <f>Classificação!V14</f>
        <v>0</v>
      </c>
      <c r="X11" s="11">
        <f>Classificação!W14</f>
        <v>0</v>
      </c>
      <c r="Y11" s="11">
        <f>Classificação!X14</f>
        <v>0</v>
      </c>
      <c r="Z11" s="5" t="e">
        <f t="shared" si="13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14"/>
        <v>0</v>
      </c>
      <c r="AO11" s="15">
        <f t="shared" si="15"/>
        <v>0</v>
      </c>
      <c r="AP11" s="15">
        <f t="shared" si="16"/>
        <v>0</v>
      </c>
      <c r="AQ11" s="15">
        <f t="shared" si="17"/>
        <v>0</v>
      </c>
      <c r="AR11" s="15">
        <f t="shared" si="18"/>
        <v>0</v>
      </c>
      <c r="AS11" s="15">
        <f t="shared" si="19"/>
        <v>0</v>
      </c>
      <c r="AT11" s="15">
        <f t="shared" si="20"/>
        <v>0</v>
      </c>
      <c r="AU11" s="15">
        <f t="shared" si="21"/>
        <v>0</v>
      </c>
      <c r="AV11" s="5"/>
      <c r="AW11" s="14">
        <v>6</v>
      </c>
      <c r="AX11" s="15">
        <f t="shared" si="22"/>
        <v>0</v>
      </c>
      <c r="AY11" s="19">
        <f t="shared" si="42"/>
        <v>0</v>
      </c>
      <c r="AZ11" s="19">
        <f t="shared" si="23"/>
        <v>0</v>
      </c>
      <c r="BA11" s="15">
        <f t="shared" si="24"/>
        <v>0</v>
      </c>
      <c r="BB11" s="19">
        <f t="shared" si="25"/>
        <v>0</v>
      </c>
      <c r="BC11" s="19">
        <f t="shared" si="26"/>
        <v>0</v>
      </c>
      <c r="BD11" s="19">
        <f t="shared" si="27"/>
        <v>0</v>
      </c>
      <c r="BE11" s="15">
        <f t="shared" si="28"/>
        <v>0</v>
      </c>
      <c r="BF11" s="15">
        <f t="shared" si="29"/>
        <v>0</v>
      </c>
      <c r="BG11" s="5"/>
      <c r="BH11" s="5"/>
      <c r="BI11" s="14">
        <v>6</v>
      </c>
      <c r="BJ11" s="15">
        <f t="shared" si="43"/>
        <v>0</v>
      </c>
      <c r="BK11" s="24">
        <f t="shared" si="30"/>
        <v>0</v>
      </c>
      <c r="BL11" s="19">
        <f t="shared" si="31"/>
        <v>0</v>
      </c>
      <c r="BM11" s="15">
        <f t="shared" si="32"/>
        <v>0</v>
      </c>
      <c r="BN11" s="19">
        <f t="shared" si="33"/>
        <v>0</v>
      </c>
      <c r="BO11" s="19">
        <f t="shared" si="34"/>
        <v>0</v>
      </c>
      <c r="BP11" s="19">
        <f t="shared" si="35"/>
        <v>0</v>
      </c>
      <c r="BQ11" s="15">
        <f t="shared" si="36"/>
        <v>0</v>
      </c>
      <c r="BR11" s="15">
        <f t="shared" si="37"/>
        <v>0</v>
      </c>
      <c r="BS11" s="5"/>
      <c r="BT11" s="5"/>
      <c r="BU11" s="5"/>
      <c r="BV11" s="5"/>
      <c r="BW11" s="5"/>
      <c r="BX11" s="4"/>
      <c r="BY11" s="11" t="e">
        <f t="shared" si="38"/>
        <v>#REF!</v>
      </c>
      <c r="BZ11" s="11" t="str">
        <f t="shared" si="1"/>
        <v>Galatasaray</v>
      </c>
      <c r="CA11" s="11">
        <f t="shared" si="39"/>
        <v>0</v>
      </c>
      <c r="CB11" s="11">
        <f t="shared" si="2"/>
        <v>0</v>
      </c>
      <c r="CC11" s="11">
        <f t="shared" si="2"/>
        <v>0</v>
      </c>
      <c r="CD11" s="11">
        <f t="shared" si="2"/>
        <v>0</v>
      </c>
      <c r="CE11" s="11">
        <f t="shared" si="2"/>
        <v>0</v>
      </c>
      <c r="CF11" s="11">
        <f t="shared" si="2"/>
        <v>0</v>
      </c>
      <c r="CG11" s="11">
        <f t="shared" si="2"/>
        <v>0</v>
      </c>
      <c r="CH11" s="11">
        <f t="shared" si="2"/>
        <v>0</v>
      </c>
      <c r="CI11" s="5"/>
      <c r="CJ11" s="19" t="e">
        <f t="shared" si="40"/>
        <v>#REF!</v>
      </c>
      <c r="CK11" s="21">
        <v>6</v>
      </c>
      <c r="CL11" s="5" t="e">
        <f t="shared" si="3"/>
        <v>#REF!</v>
      </c>
      <c r="CM11" s="4"/>
      <c r="CN11" s="21">
        <v>6</v>
      </c>
      <c r="CO11" s="5" t="e">
        <f t="shared" si="41"/>
        <v>#REF!</v>
      </c>
    </row>
    <row r="12" spans="2:93" x14ac:dyDescent="0.25">
      <c r="B12" s="18" t="s">
        <v>16</v>
      </c>
      <c r="C12" s="18" t="e">
        <f t="shared" si="4"/>
        <v>#REF!</v>
      </c>
      <c r="D12" s="18" t="e">
        <f t="shared" si="5"/>
        <v>#REF!</v>
      </c>
      <c r="E12" s="18" t="e">
        <f t="shared" si="6"/>
        <v>#REF!</v>
      </c>
      <c r="F12" s="18" t="e">
        <f t="shared" si="7"/>
        <v>#REF!</v>
      </c>
      <c r="G12" s="18" t="e">
        <f t="shared" si="8"/>
        <v>#REF!</v>
      </c>
      <c r="H12" s="18" t="e">
        <f t="shared" si="9"/>
        <v>#REF!</v>
      </c>
      <c r="I12" s="18" t="e">
        <f t="shared" si="10"/>
        <v>#REF!</v>
      </c>
      <c r="J12" s="18" t="e">
        <f t="shared" si="11"/>
        <v>#REF!</v>
      </c>
      <c r="K12" s="18" t="e">
        <f t="shared" si="12"/>
        <v>#REF!</v>
      </c>
      <c r="L12" s="4"/>
      <c r="M12" s="4"/>
      <c r="N12" s="4"/>
      <c r="O12" s="4"/>
      <c r="P12" s="11" t="e">
        <f>#REF!</f>
        <v>#REF!</v>
      </c>
      <c r="Q12" s="11" t="str">
        <f>Classificação!P15</f>
        <v>Athl. De Bilbao</v>
      </c>
      <c r="R12" s="11">
        <f>Classificação!Q15</f>
        <v>10</v>
      </c>
      <c r="S12" s="11">
        <f>Classificação!R15</f>
        <v>1</v>
      </c>
      <c r="T12" s="11">
        <f>Classificação!S15</f>
        <v>4</v>
      </c>
      <c r="U12" s="11">
        <f>Classificação!T15</f>
        <v>5</v>
      </c>
      <c r="V12" s="11">
        <f>Classificação!U15</f>
        <v>8</v>
      </c>
      <c r="W12" s="11">
        <f>Classificação!V15</f>
        <v>14</v>
      </c>
      <c r="X12" s="11">
        <f>Classificação!W15</f>
        <v>-6</v>
      </c>
      <c r="Y12" s="11">
        <f>Classificação!X15</f>
        <v>7</v>
      </c>
      <c r="Z12" s="5" t="e">
        <f t="shared" si="13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14"/>
        <v>0</v>
      </c>
      <c r="AO12" s="15">
        <f t="shared" si="15"/>
        <v>0</v>
      </c>
      <c r="AP12" s="15">
        <f t="shared" si="16"/>
        <v>0</v>
      </c>
      <c r="AQ12" s="15">
        <f t="shared" si="17"/>
        <v>0</v>
      </c>
      <c r="AR12" s="15">
        <f t="shared" si="18"/>
        <v>0</v>
      </c>
      <c r="AS12" s="15">
        <f t="shared" si="19"/>
        <v>0</v>
      </c>
      <c r="AT12" s="15">
        <f t="shared" si="20"/>
        <v>0</v>
      </c>
      <c r="AU12" s="15">
        <f t="shared" si="21"/>
        <v>0</v>
      </c>
      <c r="AV12" s="5"/>
      <c r="AW12" s="14">
        <v>7</v>
      </c>
      <c r="AX12" s="15">
        <f t="shared" si="22"/>
        <v>0</v>
      </c>
      <c r="AY12" s="19">
        <f t="shared" si="42"/>
        <v>0</v>
      </c>
      <c r="AZ12" s="19">
        <f t="shared" si="23"/>
        <v>0</v>
      </c>
      <c r="BA12" s="15">
        <f t="shared" si="24"/>
        <v>0</v>
      </c>
      <c r="BB12" s="19">
        <f t="shared" si="25"/>
        <v>0</v>
      </c>
      <c r="BC12" s="19">
        <f t="shared" si="26"/>
        <v>0</v>
      </c>
      <c r="BD12" s="19">
        <f t="shared" si="27"/>
        <v>0</v>
      </c>
      <c r="BE12" s="15">
        <f t="shared" si="28"/>
        <v>0</v>
      </c>
      <c r="BF12" s="15">
        <f t="shared" si="29"/>
        <v>0</v>
      </c>
      <c r="BG12" s="5"/>
      <c r="BH12" s="5"/>
      <c r="BI12" s="14">
        <v>7</v>
      </c>
      <c r="BJ12" s="15">
        <f t="shared" si="43"/>
        <v>0</v>
      </c>
      <c r="BK12" s="24">
        <f t="shared" si="30"/>
        <v>0</v>
      </c>
      <c r="BL12" s="19">
        <f t="shared" si="31"/>
        <v>0</v>
      </c>
      <c r="BM12" s="15">
        <f t="shared" si="32"/>
        <v>0</v>
      </c>
      <c r="BN12" s="19">
        <f t="shared" si="33"/>
        <v>0</v>
      </c>
      <c r="BO12" s="19">
        <f t="shared" si="34"/>
        <v>0</v>
      </c>
      <c r="BP12" s="19">
        <f t="shared" si="35"/>
        <v>0</v>
      </c>
      <c r="BQ12" s="15">
        <f t="shared" si="36"/>
        <v>0</v>
      </c>
      <c r="BR12" s="15">
        <f t="shared" si="37"/>
        <v>0</v>
      </c>
      <c r="BS12" s="5"/>
      <c r="BT12" s="5"/>
      <c r="BU12" s="5"/>
      <c r="BV12" s="5"/>
      <c r="BW12" s="5"/>
      <c r="BX12" s="4"/>
      <c r="BY12" s="11" t="e">
        <f t="shared" si="38"/>
        <v>#REF!</v>
      </c>
      <c r="BZ12" s="11" t="str">
        <f t="shared" si="1"/>
        <v>Athl. De Bilbao</v>
      </c>
      <c r="CA12" s="11">
        <f t="shared" si="39"/>
        <v>10</v>
      </c>
      <c r="CB12" s="11">
        <f t="shared" si="2"/>
        <v>1</v>
      </c>
      <c r="CC12" s="11">
        <f t="shared" si="2"/>
        <v>4</v>
      </c>
      <c r="CD12" s="11">
        <f t="shared" si="2"/>
        <v>5</v>
      </c>
      <c r="CE12" s="11">
        <f t="shared" si="2"/>
        <v>8</v>
      </c>
      <c r="CF12" s="11">
        <f t="shared" si="2"/>
        <v>14</v>
      </c>
      <c r="CG12" s="11">
        <f t="shared" si="2"/>
        <v>-6</v>
      </c>
      <c r="CH12" s="11">
        <f t="shared" si="2"/>
        <v>7</v>
      </c>
      <c r="CI12" s="5"/>
      <c r="CJ12" s="19" t="e">
        <f t="shared" si="40"/>
        <v>#REF!</v>
      </c>
      <c r="CK12" s="21">
        <v>7</v>
      </c>
      <c r="CL12" s="5" t="e">
        <f t="shared" si="3"/>
        <v>#REF!</v>
      </c>
      <c r="CM12" s="4"/>
      <c r="CN12" s="21">
        <v>7</v>
      </c>
      <c r="CO12" s="5" t="e">
        <f t="shared" si="41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5"/>
        <v>#REF!</v>
      </c>
      <c r="E13" s="11" t="e">
        <f t="shared" si="6"/>
        <v>#REF!</v>
      </c>
      <c r="F13" s="11" t="e">
        <f t="shared" si="7"/>
        <v>#REF!</v>
      </c>
      <c r="G13" s="11" t="e">
        <f t="shared" si="8"/>
        <v>#REF!</v>
      </c>
      <c r="H13" s="11" t="e">
        <f t="shared" si="9"/>
        <v>#REF!</v>
      </c>
      <c r="I13" s="11" t="e">
        <f t="shared" si="10"/>
        <v>#REF!</v>
      </c>
      <c r="J13" s="11" t="e">
        <f t="shared" si="11"/>
        <v>#REF!</v>
      </c>
      <c r="K13" s="11" t="e">
        <f t="shared" si="12"/>
        <v>#REF!</v>
      </c>
      <c r="L13" s="4"/>
      <c r="M13" s="4"/>
      <c r="N13" s="4"/>
      <c r="O13" s="4"/>
      <c r="P13" s="11" t="e">
        <f>#REF!</f>
        <v>#REF!</v>
      </c>
      <c r="Q13" s="11" t="str">
        <f>Classificação!P16</f>
        <v>Monaco</v>
      </c>
      <c r="R13" s="11">
        <f>Classificação!Q16</f>
        <v>10</v>
      </c>
      <c r="S13" s="11">
        <f>Classificação!R16</f>
        <v>1</v>
      </c>
      <c r="T13" s="11">
        <f>Classificação!S16</f>
        <v>4</v>
      </c>
      <c r="U13" s="11">
        <f>Classificação!T16</f>
        <v>5</v>
      </c>
      <c r="V13" s="11">
        <f>Classificação!U16</f>
        <v>7</v>
      </c>
      <c r="W13" s="11">
        <f>Classificação!V16</f>
        <v>11</v>
      </c>
      <c r="X13" s="11">
        <f>Classificação!W16</f>
        <v>-4</v>
      </c>
      <c r="Y13" s="11">
        <f>Classificação!X16</f>
        <v>7</v>
      </c>
      <c r="Z13" s="5" t="e">
        <f t="shared" si="13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14"/>
        <v>0</v>
      </c>
      <c r="AO13" s="15">
        <f t="shared" si="15"/>
        <v>0</v>
      </c>
      <c r="AP13" s="15">
        <f t="shared" si="16"/>
        <v>0</v>
      </c>
      <c r="AQ13" s="15">
        <f t="shared" si="17"/>
        <v>0</v>
      </c>
      <c r="AR13" s="15">
        <f t="shared" si="18"/>
        <v>0</v>
      </c>
      <c r="AS13" s="15">
        <f t="shared" si="19"/>
        <v>0</v>
      </c>
      <c r="AT13" s="15">
        <f t="shared" si="20"/>
        <v>0</v>
      </c>
      <c r="AU13" s="15">
        <f t="shared" si="21"/>
        <v>0</v>
      </c>
      <c r="AV13" s="5"/>
      <c r="AW13" s="14">
        <v>8</v>
      </c>
      <c r="AX13" s="15">
        <f t="shared" si="22"/>
        <v>0</v>
      </c>
      <c r="AY13" s="19">
        <f t="shared" si="42"/>
        <v>0</v>
      </c>
      <c r="AZ13" s="19">
        <f t="shared" si="23"/>
        <v>0</v>
      </c>
      <c r="BA13" s="15">
        <f t="shared" si="24"/>
        <v>0</v>
      </c>
      <c r="BB13" s="19">
        <f t="shared" si="25"/>
        <v>0</v>
      </c>
      <c r="BC13" s="19">
        <f t="shared" si="26"/>
        <v>0</v>
      </c>
      <c r="BD13" s="19">
        <f t="shared" si="27"/>
        <v>0</v>
      </c>
      <c r="BE13" s="15">
        <f t="shared" si="28"/>
        <v>0</v>
      </c>
      <c r="BF13" s="15">
        <f t="shared" si="29"/>
        <v>0</v>
      </c>
      <c r="BG13" s="5"/>
      <c r="BH13" s="5"/>
      <c r="BI13" s="14">
        <v>8</v>
      </c>
      <c r="BJ13" s="15">
        <f t="shared" si="43"/>
        <v>0</v>
      </c>
      <c r="BK13" s="24">
        <f t="shared" si="30"/>
        <v>0</v>
      </c>
      <c r="BL13" s="19">
        <f t="shared" si="31"/>
        <v>0</v>
      </c>
      <c r="BM13" s="15">
        <f t="shared" si="32"/>
        <v>0</v>
      </c>
      <c r="BN13" s="19">
        <f t="shared" si="33"/>
        <v>0</v>
      </c>
      <c r="BO13" s="19">
        <f t="shared" si="34"/>
        <v>0</v>
      </c>
      <c r="BP13" s="19">
        <f t="shared" si="35"/>
        <v>0</v>
      </c>
      <c r="BQ13" s="15">
        <f t="shared" si="36"/>
        <v>0</v>
      </c>
      <c r="BR13" s="15">
        <f t="shared" si="37"/>
        <v>0</v>
      </c>
      <c r="BS13" s="5"/>
      <c r="BT13" s="5"/>
      <c r="BU13" s="5"/>
      <c r="BV13" s="5"/>
      <c r="BW13" s="5"/>
      <c r="BX13" s="4"/>
      <c r="BY13" s="11" t="e">
        <f t="shared" si="38"/>
        <v>#REF!</v>
      </c>
      <c r="BZ13" s="11" t="str">
        <f t="shared" si="1"/>
        <v>Monaco</v>
      </c>
      <c r="CA13" s="11">
        <f t="shared" si="39"/>
        <v>10</v>
      </c>
      <c r="CB13" s="11">
        <f t="shared" si="2"/>
        <v>1</v>
      </c>
      <c r="CC13" s="11">
        <f t="shared" si="2"/>
        <v>4</v>
      </c>
      <c r="CD13" s="11">
        <f t="shared" si="2"/>
        <v>5</v>
      </c>
      <c r="CE13" s="11">
        <f t="shared" si="2"/>
        <v>7</v>
      </c>
      <c r="CF13" s="11">
        <f t="shared" si="2"/>
        <v>11</v>
      </c>
      <c r="CG13" s="11">
        <f t="shared" si="2"/>
        <v>-4</v>
      </c>
      <c r="CH13" s="11">
        <f t="shared" si="2"/>
        <v>7</v>
      </c>
      <c r="CI13" s="5"/>
      <c r="CJ13" s="19" t="e">
        <f t="shared" si="40"/>
        <v>#REF!</v>
      </c>
      <c r="CK13" s="21">
        <v>8</v>
      </c>
      <c r="CL13" s="5" t="e">
        <f t="shared" si="3"/>
        <v>#REF!</v>
      </c>
      <c r="CM13" s="4"/>
      <c r="CN13" s="21">
        <v>8</v>
      </c>
      <c r="CO13" s="5" t="e">
        <f t="shared" si="41"/>
        <v>#REF!</v>
      </c>
    </row>
    <row r="14" spans="2:93" x14ac:dyDescent="0.25">
      <c r="B14" s="18" t="s">
        <v>18</v>
      </c>
      <c r="C14" s="18" t="e">
        <f t="shared" si="4"/>
        <v>#REF!</v>
      </c>
      <c r="D14" s="18" t="e">
        <f t="shared" si="5"/>
        <v>#REF!</v>
      </c>
      <c r="E14" s="18" t="e">
        <f t="shared" si="6"/>
        <v>#REF!</v>
      </c>
      <c r="F14" s="18" t="e">
        <f t="shared" si="7"/>
        <v>#REF!</v>
      </c>
      <c r="G14" s="18" t="e">
        <f t="shared" si="8"/>
        <v>#REF!</v>
      </c>
      <c r="H14" s="18" t="e">
        <f t="shared" si="9"/>
        <v>#REF!</v>
      </c>
      <c r="I14" s="18" t="e">
        <f t="shared" si="10"/>
        <v>#REF!</v>
      </c>
      <c r="J14" s="18" t="e">
        <f t="shared" si="11"/>
        <v>#REF!</v>
      </c>
      <c r="K14" s="18" t="e">
        <f t="shared" si="12"/>
        <v>#REF!</v>
      </c>
      <c r="L14" s="4"/>
      <c r="M14" s="4"/>
      <c r="N14" s="4"/>
      <c r="O14" s="4"/>
      <c r="P14" s="11" t="e">
        <f>#REF!</f>
        <v>#REF!</v>
      </c>
      <c r="Q14" s="11" t="str">
        <f>Classificação!P17</f>
        <v>Beşiktaş</v>
      </c>
      <c r="R14" s="11">
        <f>Classificação!Q17</f>
        <v>10</v>
      </c>
      <c r="S14" s="11">
        <f>Classificação!R17</f>
        <v>6</v>
      </c>
      <c r="T14" s="11">
        <f>Classificação!S17</f>
        <v>2</v>
      </c>
      <c r="U14" s="11">
        <f>Classificação!T17</f>
        <v>2</v>
      </c>
      <c r="V14" s="11">
        <f>Classificação!U17</f>
        <v>20</v>
      </c>
      <c r="W14" s="11">
        <f>Classificação!V17</f>
        <v>8</v>
      </c>
      <c r="X14" s="11">
        <f>Classificação!W17</f>
        <v>12</v>
      </c>
      <c r="Y14" s="11">
        <f>Classificação!X17</f>
        <v>20</v>
      </c>
      <c r="Z14" s="5" t="e">
        <f t="shared" si="13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14"/>
        <v>0</v>
      </c>
      <c r="AO14" s="15">
        <f t="shared" si="15"/>
        <v>0</v>
      </c>
      <c r="AP14" s="15">
        <f t="shared" si="16"/>
        <v>0</v>
      </c>
      <c r="AQ14" s="15">
        <f t="shared" si="17"/>
        <v>0</v>
      </c>
      <c r="AR14" s="15">
        <f t="shared" si="18"/>
        <v>0</v>
      </c>
      <c r="AS14" s="15">
        <f t="shared" si="19"/>
        <v>0</v>
      </c>
      <c r="AT14" s="15">
        <f t="shared" si="20"/>
        <v>0</v>
      </c>
      <c r="AU14" s="15">
        <f t="shared" si="21"/>
        <v>0</v>
      </c>
      <c r="AV14" s="5"/>
      <c r="AW14" s="14">
        <v>9</v>
      </c>
      <c r="AX14" s="15">
        <f t="shared" si="22"/>
        <v>0</v>
      </c>
      <c r="AY14" s="19">
        <f t="shared" si="42"/>
        <v>0</v>
      </c>
      <c r="AZ14" s="19">
        <f t="shared" si="23"/>
        <v>0</v>
      </c>
      <c r="BA14" s="15">
        <f t="shared" si="24"/>
        <v>0</v>
      </c>
      <c r="BB14" s="19">
        <f t="shared" si="25"/>
        <v>0</v>
      </c>
      <c r="BC14" s="19">
        <f t="shared" si="26"/>
        <v>0</v>
      </c>
      <c r="BD14" s="19">
        <f t="shared" si="27"/>
        <v>0</v>
      </c>
      <c r="BE14" s="15">
        <f t="shared" si="28"/>
        <v>0</v>
      </c>
      <c r="BF14" s="15">
        <f t="shared" si="29"/>
        <v>0</v>
      </c>
      <c r="BG14" s="5"/>
      <c r="BH14" s="5"/>
      <c r="BI14" s="14">
        <v>9</v>
      </c>
      <c r="BJ14" s="15">
        <f t="shared" si="43"/>
        <v>0</v>
      </c>
      <c r="BK14" s="24">
        <f t="shared" si="30"/>
        <v>0</v>
      </c>
      <c r="BL14" s="19">
        <f t="shared" si="31"/>
        <v>0</v>
      </c>
      <c r="BM14" s="15">
        <f t="shared" si="32"/>
        <v>0</v>
      </c>
      <c r="BN14" s="19">
        <f t="shared" si="33"/>
        <v>0</v>
      </c>
      <c r="BO14" s="19">
        <f t="shared" si="34"/>
        <v>0</v>
      </c>
      <c r="BP14" s="19">
        <f t="shared" si="35"/>
        <v>0</v>
      </c>
      <c r="BQ14" s="15">
        <f t="shared" si="36"/>
        <v>0</v>
      </c>
      <c r="BR14" s="15">
        <f t="shared" si="37"/>
        <v>0</v>
      </c>
      <c r="BS14" s="5"/>
      <c r="BT14" s="5"/>
      <c r="BU14" s="5"/>
      <c r="BV14" s="5"/>
      <c r="BW14" s="5"/>
      <c r="BX14" s="4"/>
      <c r="BY14" s="11" t="e">
        <f t="shared" si="38"/>
        <v>#REF!</v>
      </c>
      <c r="BZ14" s="11" t="str">
        <f t="shared" si="1"/>
        <v>Beşiktaş</v>
      </c>
      <c r="CA14" s="11">
        <f t="shared" si="39"/>
        <v>10</v>
      </c>
      <c r="CB14" s="11">
        <f t="shared" si="2"/>
        <v>6</v>
      </c>
      <c r="CC14" s="11">
        <f t="shared" si="2"/>
        <v>2</v>
      </c>
      <c r="CD14" s="11">
        <f t="shared" si="2"/>
        <v>2</v>
      </c>
      <c r="CE14" s="11">
        <f t="shared" si="2"/>
        <v>20</v>
      </c>
      <c r="CF14" s="11">
        <f t="shared" si="2"/>
        <v>8</v>
      </c>
      <c r="CG14" s="11">
        <f t="shared" si="2"/>
        <v>12</v>
      </c>
      <c r="CH14" s="11">
        <f t="shared" si="2"/>
        <v>20</v>
      </c>
      <c r="CI14" s="5"/>
      <c r="CJ14" s="19" t="e">
        <f t="shared" si="40"/>
        <v>#REF!</v>
      </c>
      <c r="CK14" s="21">
        <v>9</v>
      </c>
      <c r="CL14" s="5" t="e">
        <f t="shared" si="3"/>
        <v>#REF!</v>
      </c>
      <c r="CM14" s="4"/>
      <c r="CN14" s="21">
        <v>9</v>
      </c>
      <c r="CO14" s="5" t="e">
        <f t="shared" si="41"/>
        <v>#REF!</v>
      </c>
    </row>
    <row r="15" spans="2:93" x14ac:dyDescent="0.25">
      <c r="B15" s="11" t="s">
        <v>40</v>
      </c>
      <c r="C15" s="11" t="e">
        <f t="shared" si="4"/>
        <v>#REF!</v>
      </c>
      <c r="D15" s="11" t="e">
        <f t="shared" si="5"/>
        <v>#REF!</v>
      </c>
      <c r="E15" s="11" t="e">
        <f t="shared" si="6"/>
        <v>#REF!</v>
      </c>
      <c r="F15" s="11" t="e">
        <f t="shared" si="7"/>
        <v>#REF!</v>
      </c>
      <c r="G15" s="11" t="e">
        <f t="shared" si="8"/>
        <v>#REF!</v>
      </c>
      <c r="H15" s="11" t="e">
        <f t="shared" si="9"/>
        <v>#REF!</v>
      </c>
      <c r="I15" s="11" t="e">
        <f t="shared" si="10"/>
        <v>#REF!</v>
      </c>
      <c r="J15" s="11" t="e">
        <f t="shared" si="11"/>
        <v>#REF!</v>
      </c>
      <c r="K15" s="11" t="e">
        <f t="shared" si="12"/>
        <v>#REF!</v>
      </c>
      <c r="L15" s="4"/>
      <c r="M15" s="4"/>
      <c r="N15" s="4"/>
      <c r="O15" s="4"/>
      <c r="P15" s="11" t="e">
        <f>#REF!</f>
        <v>#REF!</v>
      </c>
      <c r="Q15" s="11" t="str">
        <f>Classificação!P25</f>
        <v>Sevilla</v>
      </c>
      <c r="R15" s="11">
        <f>Classificação!Q25</f>
        <v>10</v>
      </c>
      <c r="S15" s="11">
        <f>Classificação!R25</f>
        <v>3</v>
      </c>
      <c r="T15" s="11">
        <f>Classificação!S25</f>
        <v>2</v>
      </c>
      <c r="U15" s="11">
        <f>Classificação!T25</f>
        <v>5</v>
      </c>
      <c r="V15" s="11">
        <f>Classificação!U25</f>
        <v>13</v>
      </c>
      <c r="W15" s="11">
        <f>Classificação!V25</f>
        <v>16</v>
      </c>
      <c r="X15" s="11">
        <f>Classificação!W25</f>
        <v>-3</v>
      </c>
      <c r="Y15" s="11">
        <f>Classificação!X25</f>
        <v>11</v>
      </c>
      <c r="Z15" s="5" t="e">
        <f t="shared" si="13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14"/>
        <v>0</v>
      </c>
      <c r="AO15" s="15">
        <f t="shared" si="15"/>
        <v>0</v>
      </c>
      <c r="AP15" s="15">
        <f t="shared" si="16"/>
        <v>0</v>
      </c>
      <c r="AQ15" s="15">
        <f t="shared" si="17"/>
        <v>0</v>
      </c>
      <c r="AR15" s="15">
        <f t="shared" si="18"/>
        <v>0</v>
      </c>
      <c r="AS15" s="15">
        <f t="shared" si="19"/>
        <v>0</v>
      </c>
      <c r="AT15" s="15">
        <f t="shared" si="20"/>
        <v>0</v>
      </c>
      <c r="AU15" s="15">
        <f t="shared" si="21"/>
        <v>0</v>
      </c>
      <c r="AV15" s="5"/>
      <c r="AW15" s="14">
        <v>10</v>
      </c>
      <c r="AX15" s="15">
        <f t="shared" si="22"/>
        <v>0</v>
      </c>
      <c r="AY15" s="19">
        <f t="shared" si="42"/>
        <v>0</v>
      </c>
      <c r="AZ15" s="19">
        <f t="shared" si="23"/>
        <v>0</v>
      </c>
      <c r="BA15" s="15">
        <f t="shared" si="24"/>
        <v>0</v>
      </c>
      <c r="BB15" s="19">
        <f t="shared" si="25"/>
        <v>0</v>
      </c>
      <c r="BC15" s="19">
        <f t="shared" si="26"/>
        <v>0</v>
      </c>
      <c r="BD15" s="19">
        <f t="shared" si="27"/>
        <v>0</v>
      </c>
      <c r="BE15" s="15">
        <f t="shared" si="28"/>
        <v>0</v>
      </c>
      <c r="BF15" s="15">
        <f t="shared" si="29"/>
        <v>0</v>
      </c>
      <c r="BG15" s="5"/>
      <c r="BH15" s="5"/>
      <c r="BI15" s="14">
        <v>10</v>
      </c>
      <c r="BJ15" s="15">
        <f t="shared" si="43"/>
        <v>0</v>
      </c>
      <c r="BK15" s="24">
        <f t="shared" si="30"/>
        <v>0</v>
      </c>
      <c r="BL15" s="19">
        <f t="shared" si="31"/>
        <v>0</v>
      </c>
      <c r="BM15" s="15">
        <f t="shared" si="32"/>
        <v>0</v>
      </c>
      <c r="BN15" s="19">
        <f t="shared" si="33"/>
        <v>0</v>
      </c>
      <c r="BO15" s="19">
        <f t="shared" si="34"/>
        <v>0</v>
      </c>
      <c r="BP15" s="19">
        <f t="shared" si="35"/>
        <v>0</v>
      </c>
      <c r="BQ15" s="15">
        <f t="shared" si="36"/>
        <v>0</v>
      </c>
      <c r="BR15" s="15">
        <f t="shared" si="37"/>
        <v>0</v>
      </c>
      <c r="BS15" s="5"/>
      <c r="BT15" s="5"/>
      <c r="BU15" s="5"/>
      <c r="BV15" s="5"/>
      <c r="BW15" s="5"/>
      <c r="BX15" s="4"/>
      <c r="BY15" s="11" t="e">
        <f t="shared" si="38"/>
        <v>#REF!</v>
      </c>
      <c r="BZ15" s="11" t="str">
        <f t="shared" si="1"/>
        <v>Sevilla</v>
      </c>
      <c r="CA15" s="11">
        <f t="shared" si="39"/>
        <v>10</v>
      </c>
      <c r="CB15" s="11">
        <f t="shared" si="2"/>
        <v>3</v>
      </c>
      <c r="CC15" s="11">
        <f t="shared" si="2"/>
        <v>2</v>
      </c>
      <c r="CD15" s="11">
        <f t="shared" si="2"/>
        <v>5</v>
      </c>
      <c r="CE15" s="11">
        <f t="shared" si="2"/>
        <v>13</v>
      </c>
      <c r="CF15" s="11">
        <f t="shared" si="2"/>
        <v>16</v>
      </c>
      <c r="CG15" s="11">
        <f t="shared" si="2"/>
        <v>-3</v>
      </c>
      <c r="CH15" s="11">
        <f t="shared" si="2"/>
        <v>11</v>
      </c>
      <c r="CI15" s="5"/>
      <c r="CJ15" s="19" t="e">
        <f t="shared" si="40"/>
        <v>#REF!</v>
      </c>
      <c r="CK15" s="21">
        <v>10</v>
      </c>
      <c r="CL15" s="5" t="e">
        <f t="shared" si="3"/>
        <v>#REF!</v>
      </c>
      <c r="CM15" s="4"/>
      <c r="CN15" s="21">
        <v>10</v>
      </c>
      <c r="CO15" s="5" t="e">
        <f t="shared" si="41"/>
        <v>#REF!</v>
      </c>
    </row>
    <row r="16" spans="2:93" x14ac:dyDescent="0.25">
      <c r="B16" s="18" t="s">
        <v>41</v>
      </c>
      <c r="C16" s="18" t="e">
        <f t="shared" si="4"/>
        <v>#REF!</v>
      </c>
      <c r="D16" s="18" t="e">
        <f t="shared" si="5"/>
        <v>#REF!</v>
      </c>
      <c r="E16" s="18" t="e">
        <f t="shared" si="6"/>
        <v>#REF!</v>
      </c>
      <c r="F16" s="18" t="e">
        <f t="shared" si="7"/>
        <v>#REF!</v>
      </c>
      <c r="G16" s="18" t="e">
        <f t="shared" si="8"/>
        <v>#REF!</v>
      </c>
      <c r="H16" s="18" t="e">
        <f t="shared" si="9"/>
        <v>#REF!</v>
      </c>
      <c r="I16" s="18" t="e">
        <f t="shared" si="10"/>
        <v>#REF!</v>
      </c>
      <c r="J16" s="18" t="e">
        <f t="shared" si="11"/>
        <v>#REF!</v>
      </c>
      <c r="K16" s="18" t="e">
        <f t="shared" si="12"/>
        <v>#REF!</v>
      </c>
      <c r="L16" s="4"/>
      <c r="M16" s="4"/>
      <c r="N16" s="4"/>
      <c r="O16" s="4"/>
      <c r="P16" s="11" t="e">
        <f>#REF!</f>
        <v>#REF!</v>
      </c>
      <c r="Q16" s="11" t="str">
        <f>Classificação!P26</f>
        <v>P S V</v>
      </c>
      <c r="R16" s="11">
        <f>Classificação!Q26</f>
        <v>10</v>
      </c>
      <c r="S16" s="11">
        <f>Classificação!R26</f>
        <v>6</v>
      </c>
      <c r="T16" s="11">
        <f>Classificação!S26</f>
        <v>1</v>
      </c>
      <c r="U16" s="11">
        <f>Classificação!T26</f>
        <v>3</v>
      </c>
      <c r="V16" s="11">
        <f>Classificação!U26</f>
        <v>12</v>
      </c>
      <c r="W16" s="11">
        <f>Classificação!V26</f>
        <v>9</v>
      </c>
      <c r="X16" s="11">
        <f>Classificação!W26</f>
        <v>3</v>
      </c>
      <c r="Y16" s="11">
        <f>Classificação!X26</f>
        <v>19</v>
      </c>
      <c r="Z16" s="5" t="e">
        <f t="shared" si="13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14"/>
        <v>0</v>
      </c>
      <c r="AO16" s="15">
        <f t="shared" si="15"/>
        <v>0</v>
      </c>
      <c r="AP16" s="15">
        <f t="shared" si="16"/>
        <v>0</v>
      </c>
      <c r="AQ16" s="15">
        <f t="shared" si="17"/>
        <v>0</v>
      </c>
      <c r="AR16" s="15">
        <f t="shared" si="18"/>
        <v>0</v>
      </c>
      <c r="AS16" s="15">
        <f t="shared" si="19"/>
        <v>0</v>
      </c>
      <c r="AT16" s="15">
        <f t="shared" si="20"/>
        <v>0</v>
      </c>
      <c r="AU16" s="15">
        <f t="shared" si="21"/>
        <v>0</v>
      </c>
      <c r="AV16" s="5"/>
      <c r="AW16" s="14">
        <v>11</v>
      </c>
      <c r="AX16" s="15">
        <f t="shared" si="22"/>
        <v>0</v>
      </c>
      <c r="AY16" s="19">
        <f t="shared" si="42"/>
        <v>0</v>
      </c>
      <c r="AZ16" s="19">
        <f t="shared" si="23"/>
        <v>0</v>
      </c>
      <c r="BA16" s="15">
        <f t="shared" si="24"/>
        <v>0</v>
      </c>
      <c r="BB16" s="19">
        <f t="shared" si="25"/>
        <v>0</v>
      </c>
      <c r="BC16" s="19">
        <f t="shared" si="26"/>
        <v>0</v>
      </c>
      <c r="BD16" s="19">
        <f t="shared" si="27"/>
        <v>0</v>
      </c>
      <c r="BE16" s="15">
        <f t="shared" si="28"/>
        <v>0</v>
      </c>
      <c r="BF16" s="15">
        <f t="shared" si="29"/>
        <v>0</v>
      </c>
      <c r="BG16" s="5"/>
      <c r="BH16" s="5"/>
      <c r="BI16" s="14">
        <v>11</v>
      </c>
      <c r="BJ16" s="15">
        <f t="shared" si="43"/>
        <v>0</v>
      </c>
      <c r="BK16" s="24">
        <f t="shared" si="30"/>
        <v>0</v>
      </c>
      <c r="BL16" s="19">
        <f t="shared" si="31"/>
        <v>0</v>
      </c>
      <c r="BM16" s="15">
        <f t="shared" si="32"/>
        <v>0</v>
      </c>
      <c r="BN16" s="19">
        <f t="shared" si="33"/>
        <v>0</v>
      </c>
      <c r="BO16" s="19">
        <f t="shared" si="34"/>
        <v>0</v>
      </c>
      <c r="BP16" s="19">
        <f t="shared" si="35"/>
        <v>0</v>
      </c>
      <c r="BQ16" s="15">
        <f t="shared" si="36"/>
        <v>0</v>
      </c>
      <c r="BR16" s="15">
        <f t="shared" si="37"/>
        <v>0</v>
      </c>
      <c r="BS16" s="5"/>
      <c r="BT16" s="5"/>
      <c r="BU16" s="5"/>
      <c r="BV16" s="5"/>
      <c r="BW16" s="5"/>
      <c r="BX16" s="4"/>
      <c r="BY16" s="11" t="e">
        <f t="shared" si="38"/>
        <v>#REF!</v>
      </c>
      <c r="BZ16" s="11" t="str">
        <f t="shared" si="1"/>
        <v>P S V</v>
      </c>
      <c r="CA16" s="11">
        <f t="shared" si="39"/>
        <v>10</v>
      </c>
      <c r="CB16" s="11">
        <f t="shared" si="2"/>
        <v>6</v>
      </c>
      <c r="CC16" s="11">
        <f t="shared" si="2"/>
        <v>1</v>
      </c>
      <c r="CD16" s="11">
        <f t="shared" si="2"/>
        <v>3</v>
      </c>
      <c r="CE16" s="11">
        <f t="shared" si="2"/>
        <v>12</v>
      </c>
      <c r="CF16" s="11">
        <f t="shared" si="2"/>
        <v>9</v>
      </c>
      <c r="CG16" s="11">
        <f t="shared" si="2"/>
        <v>3</v>
      </c>
      <c r="CH16" s="11">
        <f t="shared" si="2"/>
        <v>19</v>
      </c>
      <c r="CI16" s="5"/>
      <c r="CJ16" s="19" t="e">
        <f t="shared" si="40"/>
        <v>#REF!</v>
      </c>
      <c r="CK16" s="21">
        <v>11</v>
      </c>
      <c r="CL16" s="5" t="e">
        <f t="shared" si="3"/>
        <v>#REF!</v>
      </c>
      <c r="CM16" s="4"/>
      <c r="CN16" s="21">
        <v>11</v>
      </c>
      <c r="CO16" s="5" t="e">
        <f t="shared" si="41"/>
        <v>#REF!</v>
      </c>
    </row>
    <row r="17" spans="2:93" x14ac:dyDescent="0.25">
      <c r="B17" s="11" t="s">
        <v>42</v>
      </c>
      <c r="C17" s="11" t="e">
        <f t="shared" si="4"/>
        <v>#REF!</v>
      </c>
      <c r="D17" s="11" t="e">
        <f t="shared" si="5"/>
        <v>#REF!</v>
      </c>
      <c r="E17" s="11" t="e">
        <f t="shared" si="6"/>
        <v>#REF!</v>
      </c>
      <c r="F17" s="11" t="e">
        <f t="shared" si="7"/>
        <v>#REF!</v>
      </c>
      <c r="G17" s="11" t="e">
        <f t="shared" si="8"/>
        <v>#REF!</v>
      </c>
      <c r="H17" s="11" t="e">
        <f t="shared" si="9"/>
        <v>#REF!</v>
      </c>
      <c r="I17" s="11" t="e">
        <f t="shared" si="10"/>
        <v>#REF!</v>
      </c>
      <c r="J17" s="11" t="e">
        <f t="shared" si="11"/>
        <v>#REF!</v>
      </c>
      <c r="K17" s="11" t="e">
        <f t="shared" si="12"/>
        <v>#REF!</v>
      </c>
      <c r="L17" s="4"/>
      <c r="M17" s="4"/>
      <c r="N17" s="4"/>
      <c r="O17" s="4"/>
      <c r="P17" s="11" t="e">
        <f>#REF!</f>
        <v>#REF!</v>
      </c>
      <c r="Q17" s="11" t="str">
        <f>Classificação!P27</f>
        <v>Crystal Palace</v>
      </c>
      <c r="R17" s="11">
        <f>Classificação!Q27</f>
        <v>10</v>
      </c>
      <c r="S17" s="11">
        <f>Classificação!R27</f>
        <v>5</v>
      </c>
      <c r="T17" s="11">
        <f>Classificação!S27</f>
        <v>4</v>
      </c>
      <c r="U17" s="11">
        <f>Classificação!T27</f>
        <v>1</v>
      </c>
      <c r="V17" s="11">
        <f>Classificação!U27</f>
        <v>7</v>
      </c>
      <c r="W17" s="11">
        <f>Classificação!V27</f>
        <v>3</v>
      </c>
      <c r="X17" s="11">
        <f>Classificação!W27</f>
        <v>4</v>
      </c>
      <c r="Y17" s="11">
        <f>Classificação!X27</f>
        <v>19</v>
      </c>
      <c r="Z17" s="5" t="e">
        <f t="shared" si="13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14"/>
        <v>0</v>
      </c>
      <c r="AO17" s="15">
        <f t="shared" si="15"/>
        <v>0</v>
      </c>
      <c r="AP17" s="15">
        <f t="shared" si="16"/>
        <v>0</v>
      </c>
      <c r="AQ17" s="15">
        <f t="shared" si="17"/>
        <v>0</v>
      </c>
      <c r="AR17" s="15">
        <f t="shared" si="18"/>
        <v>0</v>
      </c>
      <c r="AS17" s="15">
        <f t="shared" si="19"/>
        <v>0</v>
      </c>
      <c r="AT17" s="15">
        <f t="shared" si="20"/>
        <v>0</v>
      </c>
      <c r="AU17" s="15">
        <f t="shared" si="21"/>
        <v>0</v>
      </c>
      <c r="AV17" s="5"/>
      <c r="AW17" s="14">
        <v>12</v>
      </c>
      <c r="AX17" s="15">
        <f t="shared" si="22"/>
        <v>0</v>
      </c>
      <c r="AY17" s="19">
        <f t="shared" si="42"/>
        <v>0</v>
      </c>
      <c r="AZ17" s="19">
        <f t="shared" si="23"/>
        <v>0</v>
      </c>
      <c r="BA17" s="15">
        <f t="shared" si="24"/>
        <v>0</v>
      </c>
      <c r="BB17" s="19">
        <f t="shared" si="25"/>
        <v>0</v>
      </c>
      <c r="BC17" s="19">
        <f t="shared" si="26"/>
        <v>0</v>
      </c>
      <c r="BD17" s="19">
        <f t="shared" si="27"/>
        <v>0</v>
      </c>
      <c r="BE17" s="15">
        <f t="shared" si="28"/>
        <v>0</v>
      </c>
      <c r="BF17" s="15">
        <f t="shared" si="29"/>
        <v>0</v>
      </c>
      <c r="BG17" s="5"/>
      <c r="BH17" s="5"/>
      <c r="BI17" s="14">
        <v>12</v>
      </c>
      <c r="BJ17" s="15">
        <f t="shared" si="43"/>
        <v>0</v>
      </c>
      <c r="BK17" s="24">
        <f t="shared" si="30"/>
        <v>0</v>
      </c>
      <c r="BL17" s="19">
        <f t="shared" si="31"/>
        <v>0</v>
      </c>
      <c r="BM17" s="15">
        <f t="shared" si="32"/>
        <v>0</v>
      </c>
      <c r="BN17" s="19">
        <f t="shared" si="33"/>
        <v>0</v>
      </c>
      <c r="BO17" s="19">
        <f t="shared" si="34"/>
        <v>0</v>
      </c>
      <c r="BP17" s="19">
        <f t="shared" si="35"/>
        <v>0</v>
      </c>
      <c r="BQ17" s="15">
        <f t="shared" si="36"/>
        <v>0</v>
      </c>
      <c r="BR17" s="15">
        <f t="shared" si="37"/>
        <v>0</v>
      </c>
      <c r="BS17" s="5"/>
      <c r="BT17" s="5"/>
      <c r="BU17" s="5"/>
      <c r="BV17" s="5"/>
      <c r="BW17" s="5"/>
      <c r="BX17" s="4"/>
      <c r="BY17" s="11" t="e">
        <f t="shared" si="38"/>
        <v>#REF!</v>
      </c>
      <c r="BZ17" s="11" t="str">
        <f t="shared" si="1"/>
        <v>Crystal Palace</v>
      </c>
      <c r="CA17" s="11">
        <f t="shared" si="39"/>
        <v>10</v>
      </c>
      <c r="CB17" s="11">
        <f t="shared" si="2"/>
        <v>5</v>
      </c>
      <c r="CC17" s="11">
        <f t="shared" si="2"/>
        <v>4</v>
      </c>
      <c r="CD17" s="11">
        <f t="shared" si="2"/>
        <v>1</v>
      </c>
      <c r="CE17" s="11">
        <f t="shared" si="2"/>
        <v>7</v>
      </c>
      <c r="CF17" s="11">
        <f t="shared" si="2"/>
        <v>3</v>
      </c>
      <c r="CG17" s="11">
        <f t="shared" si="2"/>
        <v>4</v>
      </c>
      <c r="CH17" s="11">
        <f t="shared" si="2"/>
        <v>19</v>
      </c>
      <c r="CI17" s="5"/>
      <c r="CJ17" s="19" t="e">
        <f t="shared" si="40"/>
        <v>#REF!</v>
      </c>
      <c r="CK17" s="21">
        <v>12</v>
      </c>
      <c r="CL17" s="5" t="e">
        <f t="shared" si="3"/>
        <v>#REF!</v>
      </c>
      <c r="CM17" s="4"/>
      <c r="CN17" s="21">
        <v>12</v>
      </c>
      <c r="CO17" s="5" t="e">
        <f t="shared" si="41"/>
        <v>#REF!</v>
      </c>
    </row>
    <row r="18" spans="2:93" x14ac:dyDescent="0.25">
      <c r="B18" s="18" t="s">
        <v>43</v>
      </c>
      <c r="C18" s="18" t="e">
        <f t="shared" si="4"/>
        <v>#REF!</v>
      </c>
      <c r="D18" s="18" t="e">
        <f t="shared" si="5"/>
        <v>#REF!</v>
      </c>
      <c r="E18" s="18" t="e">
        <f t="shared" si="6"/>
        <v>#REF!</v>
      </c>
      <c r="F18" s="18" t="e">
        <f t="shared" si="7"/>
        <v>#REF!</v>
      </c>
      <c r="G18" s="18" t="e">
        <f t="shared" si="8"/>
        <v>#REF!</v>
      </c>
      <c r="H18" s="18" t="e">
        <f t="shared" si="9"/>
        <v>#REF!</v>
      </c>
      <c r="I18" s="18" t="e">
        <f t="shared" si="10"/>
        <v>#REF!</v>
      </c>
      <c r="J18" s="18" t="e">
        <f t="shared" si="11"/>
        <v>#REF!</v>
      </c>
      <c r="K18" s="18" t="e">
        <f t="shared" si="12"/>
        <v>#REF!</v>
      </c>
      <c r="L18" s="4"/>
      <c r="M18" s="4"/>
      <c r="N18" s="4"/>
      <c r="O18" s="4"/>
      <c r="P18" s="11" t="e">
        <f>#REF!</f>
        <v>#REF!</v>
      </c>
      <c r="Q18" s="11" t="str">
        <f>Classificação!P28</f>
        <v>Borussia M</v>
      </c>
      <c r="R18" s="11">
        <f>Classificação!Q28</f>
        <v>10</v>
      </c>
      <c r="S18" s="11">
        <f>Classificação!R28</f>
        <v>2</v>
      </c>
      <c r="T18" s="11">
        <f>Classificação!S28</f>
        <v>5</v>
      </c>
      <c r="U18" s="11">
        <f>Classificação!T28</f>
        <v>3</v>
      </c>
      <c r="V18" s="11">
        <f>Classificação!U28</f>
        <v>8</v>
      </c>
      <c r="W18" s="11">
        <f>Classificação!V28</f>
        <v>10</v>
      </c>
      <c r="X18" s="11">
        <f>Classificação!W28</f>
        <v>-2</v>
      </c>
      <c r="Y18" s="11">
        <f>Classificação!X28</f>
        <v>11</v>
      </c>
      <c r="Z18" s="5" t="e">
        <f t="shared" si="13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14"/>
        <v>0</v>
      </c>
      <c r="AO18" s="15">
        <f t="shared" si="15"/>
        <v>0</v>
      </c>
      <c r="AP18" s="15">
        <f t="shared" si="16"/>
        <v>0</v>
      </c>
      <c r="AQ18" s="15">
        <f t="shared" si="17"/>
        <v>0</v>
      </c>
      <c r="AR18" s="15">
        <f t="shared" si="18"/>
        <v>0</v>
      </c>
      <c r="AS18" s="15">
        <f t="shared" si="19"/>
        <v>0</v>
      </c>
      <c r="AT18" s="15">
        <f t="shared" si="20"/>
        <v>0</v>
      </c>
      <c r="AU18" s="15">
        <f t="shared" si="21"/>
        <v>0</v>
      </c>
      <c r="AV18" s="5"/>
      <c r="AW18" s="14">
        <v>13</v>
      </c>
      <c r="AX18" s="15">
        <f t="shared" si="22"/>
        <v>0</v>
      </c>
      <c r="AY18" s="19">
        <f t="shared" si="42"/>
        <v>0</v>
      </c>
      <c r="AZ18" s="19">
        <f t="shared" si="23"/>
        <v>0</v>
      </c>
      <c r="BA18" s="15">
        <f t="shared" si="24"/>
        <v>0</v>
      </c>
      <c r="BB18" s="19">
        <f t="shared" si="25"/>
        <v>0</v>
      </c>
      <c r="BC18" s="19">
        <f t="shared" si="26"/>
        <v>0</v>
      </c>
      <c r="BD18" s="19">
        <f t="shared" si="27"/>
        <v>0</v>
      </c>
      <c r="BE18" s="15">
        <f t="shared" si="28"/>
        <v>0</v>
      </c>
      <c r="BF18" s="15">
        <f t="shared" si="29"/>
        <v>0</v>
      </c>
      <c r="BG18" s="5"/>
      <c r="BH18" s="5"/>
      <c r="BI18" s="14">
        <v>13</v>
      </c>
      <c r="BJ18" s="15">
        <f t="shared" si="43"/>
        <v>0</v>
      </c>
      <c r="BK18" s="24">
        <f t="shared" si="30"/>
        <v>0</v>
      </c>
      <c r="BL18" s="19">
        <f t="shared" si="31"/>
        <v>0</v>
      </c>
      <c r="BM18" s="15">
        <f t="shared" si="32"/>
        <v>0</v>
      </c>
      <c r="BN18" s="19">
        <f t="shared" si="33"/>
        <v>0</v>
      </c>
      <c r="BO18" s="19">
        <f t="shared" si="34"/>
        <v>0</v>
      </c>
      <c r="BP18" s="19">
        <f t="shared" si="35"/>
        <v>0</v>
      </c>
      <c r="BQ18" s="15">
        <f t="shared" si="36"/>
        <v>0</v>
      </c>
      <c r="BR18" s="15">
        <f t="shared" si="37"/>
        <v>0</v>
      </c>
      <c r="BS18" s="5"/>
      <c r="BT18" s="5"/>
      <c r="BU18" s="5"/>
      <c r="BV18" s="5"/>
      <c r="BW18" s="5"/>
      <c r="BX18" s="4"/>
      <c r="BY18" s="11" t="e">
        <f t="shared" si="38"/>
        <v>#REF!</v>
      </c>
      <c r="BZ18" s="11" t="str">
        <f t="shared" si="1"/>
        <v>Borussia M</v>
      </c>
      <c r="CA18" s="11">
        <f t="shared" si="39"/>
        <v>10</v>
      </c>
      <c r="CB18" s="11">
        <f t="shared" si="2"/>
        <v>2</v>
      </c>
      <c r="CC18" s="11">
        <f t="shared" si="2"/>
        <v>5</v>
      </c>
      <c r="CD18" s="11">
        <f t="shared" si="2"/>
        <v>3</v>
      </c>
      <c r="CE18" s="11">
        <f t="shared" si="2"/>
        <v>8</v>
      </c>
      <c r="CF18" s="11">
        <f t="shared" si="2"/>
        <v>10</v>
      </c>
      <c r="CG18" s="11">
        <f t="shared" si="2"/>
        <v>-2</v>
      </c>
      <c r="CH18" s="11">
        <f t="shared" si="2"/>
        <v>11</v>
      </c>
      <c r="CI18" s="5"/>
      <c r="CJ18" s="19" t="e">
        <f t="shared" si="40"/>
        <v>#REF!</v>
      </c>
      <c r="CK18" s="21">
        <v>13</v>
      </c>
      <c r="CL18" s="5" t="e">
        <f t="shared" si="3"/>
        <v>#REF!</v>
      </c>
      <c r="CM18" s="4"/>
      <c r="CN18" s="21">
        <v>13</v>
      </c>
      <c r="CO18" s="5" t="e">
        <f t="shared" si="41"/>
        <v>#REF!</v>
      </c>
    </row>
    <row r="19" spans="2:93" x14ac:dyDescent="0.25">
      <c r="B19" s="11" t="s">
        <v>44</v>
      </c>
      <c r="C19" s="11" t="e">
        <f t="shared" si="4"/>
        <v>#REF!</v>
      </c>
      <c r="D19" s="11" t="e">
        <f t="shared" si="5"/>
        <v>#REF!</v>
      </c>
      <c r="E19" s="11" t="e">
        <f t="shared" si="6"/>
        <v>#REF!</v>
      </c>
      <c r="F19" s="11" t="e">
        <f t="shared" si="7"/>
        <v>#REF!</v>
      </c>
      <c r="G19" s="11" t="e">
        <f t="shared" si="8"/>
        <v>#REF!</v>
      </c>
      <c r="H19" s="11" t="e">
        <f t="shared" si="9"/>
        <v>#REF!</v>
      </c>
      <c r="I19" s="11" t="e">
        <f t="shared" si="10"/>
        <v>#REF!</v>
      </c>
      <c r="J19" s="11" t="e">
        <f t="shared" si="11"/>
        <v>#REF!</v>
      </c>
      <c r="K19" s="11" t="e">
        <f t="shared" si="12"/>
        <v>#REF!</v>
      </c>
      <c r="L19" s="4"/>
      <c r="M19" s="4"/>
      <c r="N19" s="4"/>
      <c r="O19" s="4"/>
      <c r="P19" s="11" t="e">
        <f>#REF!</f>
        <v>#REF!</v>
      </c>
      <c r="Q19" s="11" t="str">
        <f>Classificação!P29</f>
        <v>Villarreal</v>
      </c>
      <c r="R19" s="11">
        <f>Classificação!Q29</f>
        <v>10</v>
      </c>
      <c r="S19" s="11">
        <f>Classificação!R29</f>
        <v>4</v>
      </c>
      <c r="T19" s="11">
        <f>Classificação!S29</f>
        <v>3</v>
      </c>
      <c r="U19" s="11">
        <f>Classificação!T29</f>
        <v>3</v>
      </c>
      <c r="V19" s="11">
        <f>Classificação!U29</f>
        <v>9</v>
      </c>
      <c r="W19" s="11">
        <f>Classificação!V29</f>
        <v>9</v>
      </c>
      <c r="X19" s="11">
        <f>Classificação!W29</f>
        <v>0</v>
      </c>
      <c r="Y19" s="11">
        <f>Classificação!X29</f>
        <v>15</v>
      </c>
      <c r="Z19" s="5" t="e">
        <f t="shared" si="13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14"/>
        <v>0</v>
      </c>
      <c r="AO19" s="15">
        <f t="shared" si="15"/>
        <v>0</v>
      </c>
      <c r="AP19" s="15">
        <f t="shared" si="16"/>
        <v>0</v>
      </c>
      <c r="AQ19" s="15">
        <f t="shared" si="17"/>
        <v>0</v>
      </c>
      <c r="AR19" s="15">
        <f t="shared" si="18"/>
        <v>0</v>
      </c>
      <c r="AS19" s="15">
        <f t="shared" si="19"/>
        <v>0</v>
      </c>
      <c r="AT19" s="15">
        <f t="shared" si="20"/>
        <v>0</v>
      </c>
      <c r="AU19" s="15">
        <f t="shared" si="21"/>
        <v>0</v>
      </c>
      <c r="AV19" s="5"/>
      <c r="AW19" s="14">
        <v>14</v>
      </c>
      <c r="AX19" s="15">
        <f t="shared" si="22"/>
        <v>0</v>
      </c>
      <c r="AY19" s="19">
        <f t="shared" si="42"/>
        <v>0</v>
      </c>
      <c r="AZ19" s="19">
        <f t="shared" si="23"/>
        <v>0</v>
      </c>
      <c r="BA19" s="15">
        <f t="shared" si="24"/>
        <v>0</v>
      </c>
      <c r="BB19" s="19">
        <f t="shared" si="25"/>
        <v>0</v>
      </c>
      <c r="BC19" s="19">
        <f t="shared" si="26"/>
        <v>0</v>
      </c>
      <c r="BD19" s="19">
        <f t="shared" si="27"/>
        <v>0</v>
      </c>
      <c r="BE19" s="15">
        <f t="shared" si="28"/>
        <v>0</v>
      </c>
      <c r="BF19" s="15">
        <f t="shared" si="29"/>
        <v>0</v>
      </c>
      <c r="BG19" s="5"/>
      <c r="BH19" s="5"/>
      <c r="BI19" s="14">
        <v>14</v>
      </c>
      <c r="BJ19" s="15">
        <f t="shared" si="43"/>
        <v>0</v>
      </c>
      <c r="BK19" s="24">
        <f t="shared" si="30"/>
        <v>0</v>
      </c>
      <c r="BL19" s="19">
        <f t="shared" si="31"/>
        <v>0</v>
      </c>
      <c r="BM19" s="15">
        <f t="shared" si="32"/>
        <v>0</v>
      </c>
      <c r="BN19" s="19">
        <f t="shared" si="33"/>
        <v>0</v>
      </c>
      <c r="BO19" s="19">
        <f t="shared" si="34"/>
        <v>0</v>
      </c>
      <c r="BP19" s="19">
        <f t="shared" si="35"/>
        <v>0</v>
      </c>
      <c r="BQ19" s="15">
        <f t="shared" si="36"/>
        <v>0</v>
      </c>
      <c r="BR19" s="15">
        <f t="shared" si="37"/>
        <v>0</v>
      </c>
      <c r="BS19" s="5"/>
      <c r="BT19" s="5"/>
      <c r="BU19" s="5"/>
      <c r="BV19" s="5"/>
      <c r="BW19" s="5"/>
      <c r="BX19" s="4"/>
      <c r="BY19" s="11" t="e">
        <f t="shared" si="38"/>
        <v>#REF!</v>
      </c>
      <c r="BZ19" s="11" t="str">
        <f t="shared" si="1"/>
        <v>Villarreal</v>
      </c>
      <c r="CA19" s="11">
        <f t="shared" si="39"/>
        <v>10</v>
      </c>
      <c r="CB19" s="11">
        <f t="shared" si="2"/>
        <v>4</v>
      </c>
      <c r="CC19" s="11">
        <f t="shared" si="2"/>
        <v>3</v>
      </c>
      <c r="CD19" s="11">
        <f t="shared" si="2"/>
        <v>3</v>
      </c>
      <c r="CE19" s="11">
        <f t="shared" si="2"/>
        <v>9</v>
      </c>
      <c r="CF19" s="11">
        <f t="shared" si="2"/>
        <v>9</v>
      </c>
      <c r="CG19" s="11">
        <f t="shared" si="2"/>
        <v>0</v>
      </c>
      <c r="CH19" s="11">
        <f t="shared" si="2"/>
        <v>15</v>
      </c>
      <c r="CI19" s="5"/>
      <c r="CJ19" s="19" t="e">
        <f t="shared" si="40"/>
        <v>#REF!</v>
      </c>
      <c r="CK19" s="21">
        <v>14</v>
      </c>
      <c r="CL19" s="5" t="e">
        <f t="shared" si="3"/>
        <v>#REF!</v>
      </c>
      <c r="CM19" s="4"/>
      <c r="CN19" s="21">
        <v>14</v>
      </c>
      <c r="CO19" s="5" t="e">
        <f t="shared" si="41"/>
        <v>#REF!</v>
      </c>
    </row>
    <row r="20" spans="2:93" x14ac:dyDescent="0.25">
      <c r="B20" s="18" t="s">
        <v>45</v>
      </c>
      <c r="C20" s="18" t="e">
        <f t="shared" si="4"/>
        <v>#REF!</v>
      </c>
      <c r="D20" s="18" t="e">
        <f t="shared" si="5"/>
        <v>#REF!</v>
      </c>
      <c r="E20" s="18" t="e">
        <f t="shared" si="6"/>
        <v>#REF!</v>
      </c>
      <c r="F20" s="18" t="e">
        <f t="shared" si="7"/>
        <v>#REF!</v>
      </c>
      <c r="G20" s="18" t="e">
        <f t="shared" si="8"/>
        <v>#REF!</v>
      </c>
      <c r="H20" s="18" t="e">
        <f t="shared" si="9"/>
        <v>#REF!</v>
      </c>
      <c r="I20" s="18" t="e">
        <f t="shared" si="10"/>
        <v>#REF!</v>
      </c>
      <c r="J20" s="18" t="e">
        <f t="shared" si="11"/>
        <v>#REF!</v>
      </c>
      <c r="K20" s="18" t="e">
        <f t="shared" si="12"/>
        <v>#REF!</v>
      </c>
      <c r="L20" s="4"/>
      <c r="M20" s="4"/>
      <c r="N20" s="4"/>
      <c r="O20" s="4"/>
      <c r="P20" s="11" t="e">
        <f>#REF!</f>
        <v>#REF!</v>
      </c>
      <c r="Q20" s="11" t="str">
        <f>Classificação!P30</f>
        <v>R B Leipzig</v>
      </c>
      <c r="R20" s="11">
        <f>Classificação!Q30</f>
        <v>10</v>
      </c>
      <c r="S20" s="11">
        <f>Classificação!R30</f>
        <v>4</v>
      </c>
      <c r="T20" s="11">
        <f>Classificação!S30</f>
        <v>3</v>
      </c>
      <c r="U20" s="11">
        <f>Classificação!T30</f>
        <v>3</v>
      </c>
      <c r="V20" s="11">
        <f>Classificação!U30</f>
        <v>12</v>
      </c>
      <c r="W20" s="11">
        <f>Classificação!V30</f>
        <v>15</v>
      </c>
      <c r="X20" s="11">
        <f>Classificação!W30</f>
        <v>-3</v>
      </c>
      <c r="Y20" s="11">
        <f>Classificação!X30</f>
        <v>15</v>
      </c>
      <c r="Z20" s="5" t="e">
        <f t="shared" si="13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14"/>
        <v>0</v>
      </c>
      <c r="AO20" s="15">
        <f t="shared" si="15"/>
        <v>0</v>
      </c>
      <c r="AP20" s="15">
        <f t="shared" si="16"/>
        <v>0</v>
      </c>
      <c r="AQ20" s="15">
        <f t="shared" si="17"/>
        <v>0</v>
      </c>
      <c r="AR20" s="15">
        <f t="shared" si="18"/>
        <v>0</v>
      </c>
      <c r="AS20" s="15">
        <f t="shared" si="19"/>
        <v>0</v>
      </c>
      <c r="AT20" s="15">
        <f t="shared" si="20"/>
        <v>0</v>
      </c>
      <c r="AU20" s="15">
        <f t="shared" si="21"/>
        <v>0</v>
      </c>
      <c r="AV20" s="5"/>
      <c r="AW20" s="14">
        <v>15</v>
      </c>
      <c r="AX20" s="15">
        <f t="shared" si="22"/>
        <v>0</v>
      </c>
      <c r="AY20" s="19">
        <f t="shared" si="42"/>
        <v>0</v>
      </c>
      <c r="AZ20" s="19">
        <f t="shared" si="23"/>
        <v>0</v>
      </c>
      <c r="BA20" s="15">
        <f t="shared" si="24"/>
        <v>0</v>
      </c>
      <c r="BB20" s="19">
        <f t="shared" si="25"/>
        <v>0</v>
      </c>
      <c r="BC20" s="19">
        <f t="shared" si="26"/>
        <v>0</v>
      </c>
      <c r="BD20" s="19">
        <f t="shared" si="27"/>
        <v>0</v>
      </c>
      <c r="BE20" s="15">
        <f t="shared" si="28"/>
        <v>0</v>
      </c>
      <c r="BF20" s="15">
        <f t="shared" si="29"/>
        <v>0</v>
      </c>
      <c r="BG20" s="5"/>
      <c r="BH20" s="5"/>
      <c r="BI20" s="14">
        <v>15</v>
      </c>
      <c r="BJ20" s="15">
        <f t="shared" si="43"/>
        <v>0</v>
      </c>
      <c r="BK20" s="24">
        <f t="shared" si="30"/>
        <v>0</v>
      </c>
      <c r="BL20" s="19">
        <f t="shared" si="31"/>
        <v>0</v>
      </c>
      <c r="BM20" s="15">
        <f t="shared" si="32"/>
        <v>0</v>
      </c>
      <c r="BN20" s="19">
        <f t="shared" si="33"/>
        <v>0</v>
      </c>
      <c r="BO20" s="19">
        <f t="shared" si="34"/>
        <v>0</v>
      </c>
      <c r="BP20" s="19">
        <f t="shared" si="35"/>
        <v>0</v>
      </c>
      <c r="BQ20" s="15">
        <f t="shared" si="36"/>
        <v>0</v>
      </c>
      <c r="BR20" s="15">
        <f t="shared" si="37"/>
        <v>0</v>
      </c>
      <c r="BS20" s="5"/>
      <c r="BT20" s="5"/>
      <c r="BU20" s="5"/>
      <c r="BV20" s="5"/>
      <c r="BW20" s="5"/>
      <c r="BX20" s="4"/>
      <c r="BY20" s="11" t="e">
        <f t="shared" si="38"/>
        <v>#REF!</v>
      </c>
      <c r="BZ20" s="11" t="str">
        <f t="shared" si="1"/>
        <v>R B Leipzig</v>
      </c>
      <c r="CA20" s="11">
        <f t="shared" si="39"/>
        <v>10</v>
      </c>
      <c r="CB20" s="11">
        <f t="shared" si="2"/>
        <v>4</v>
      </c>
      <c r="CC20" s="11">
        <f t="shared" si="2"/>
        <v>3</v>
      </c>
      <c r="CD20" s="11">
        <f t="shared" si="2"/>
        <v>3</v>
      </c>
      <c r="CE20" s="11">
        <f t="shared" si="2"/>
        <v>12</v>
      </c>
      <c r="CF20" s="11">
        <f t="shared" si="2"/>
        <v>15</v>
      </c>
      <c r="CG20" s="11">
        <f t="shared" si="2"/>
        <v>-3</v>
      </c>
      <c r="CH20" s="11">
        <f t="shared" si="2"/>
        <v>15</v>
      </c>
      <c r="CI20" s="5"/>
      <c r="CJ20" s="19" t="e">
        <f t="shared" si="40"/>
        <v>#REF!</v>
      </c>
      <c r="CK20" s="21">
        <v>15</v>
      </c>
      <c r="CL20" s="5" t="e">
        <f t="shared" si="3"/>
        <v>#REF!</v>
      </c>
      <c r="CM20" s="4"/>
      <c r="CN20" s="21">
        <v>15</v>
      </c>
      <c r="CO20" s="5" t="e">
        <f t="shared" si="41"/>
        <v>#REF!</v>
      </c>
    </row>
    <row r="21" spans="2:93" x14ac:dyDescent="0.25">
      <c r="B21" s="11" t="s">
        <v>46</v>
      </c>
      <c r="C21" s="11" t="e">
        <f t="shared" si="4"/>
        <v>#REF!</v>
      </c>
      <c r="D21" s="11" t="e">
        <f t="shared" si="5"/>
        <v>#REF!</v>
      </c>
      <c r="E21" s="11" t="e">
        <f t="shared" si="6"/>
        <v>#REF!</v>
      </c>
      <c r="F21" s="11" t="e">
        <f t="shared" si="7"/>
        <v>#REF!</v>
      </c>
      <c r="G21" s="11" t="e">
        <f t="shared" si="8"/>
        <v>#REF!</v>
      </c>
      <c r="H21" s="11" t="e">
        <f t="shared" si="9"/>
        <v>#REF!</v>
      </c>
      <c r="I21" s="11" t="e">
        <f t="shared" si="10"/>
        <v>#REF!</v>
      </c>
      <c r="J21" s="11" t="e">
        <f t="shared" si="11"/>
        <v>#REF!</v>
      </c>
      <c r="K21" s="11" t="e">
        <f t="shared" si="12"/>
        <v>#REF!</v>
      </c>
      <c r="L21" s="4"/>
      <c r="M21" s="4"/>
      <c r="N21" s="4"/>
      <c r="O21" s="4"/>
      <c r="P21" s="11" t="e">
        <f>#REF!</f>
        <v>#REF!</v>
      </c>
      <c r="Q21" s="11" t="str">
        <f>Classificação!P31</f>
        <v>Real Betis</v>
      </c>
      <c r="R21" s="11">
        <f>Classificação!Q31</f>
        <v>10</v>
      </c>
      <c r="S21" s="11">
        <f>Classificação!R31</f>
        <v>1</v>
      </c>
      <c r="T21" s="11">
        <f>Classificação!S31</f>
        <v>5</v>
      </c>
      <c r="U21" s="11">
        <f>Classificação!T31</f>
        <v>4</v>
      </c>
      <c r="V21" s="11">
        <f>Classificação!U31</f>
        <v>9</v>
      </c>
      <c r="W21" s="11">
        <f>Classificação!V31</f>
        <v>11</v>
      </c>
      <c r="X21" s="11">
        <f>Classificação!W31</f>
        <v>-2</v>
      </c>
      <c r="Y21" s="11">
        <f>Classificação!X31</f>
        <v>8</v>
      </c>
      <c r="Z21" s="5" t="e">
        <f t="shared" si="13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14"/>
        <v>0</v>
      </c>
      <c r="AO21" s="15">
        <f t="shared" si="15"/>
        <v>0</v>
      </c>
      <c r="AP21" s="15">
        <f t="shared" si="16"/>
        <v>0</v>
      </c>
      <c r="AQ21" s="15">
        <f t="shared" si="17"/>
        <v>0</v>
      </c>
      <c r="AR21" s="15">
        <f t="shared" si="18"/>
        <v>0</v>
      </c>
      <c r="AS21" s="15">
        <f t="shared" si="19"/>
        <v>0</v>
      </c>
      <c r="AT21" s="15">
        <f t="shared" si="20"/>
        <v>0</v>
      </c>
      <c r="AU21" s="15">
        <f t="shared" si="21"/>
        <v>0</v>
      </c>
      <c r="AV21" s="5"/>
      <c r="AW21" s="14">
        <v>16</v>
      </c>
      <c r="AX21" s="15">
        <f t="shared" si="22"/>
        <v>0</v>
      </c>
      <c r="AY21" s="19">
        <f t="shared" si="42"/>
        <v>0</v>
      </c>
      <c r="AZ21" s="19">
        <f t="shared" si="23"/>
        <v>0</v>
      </c>
      <c r="BA21" s="15">
        <f t="shared" si="24"/>
        <v>0</v>
      </c>
      <c r="BB21" s="19">
        <f t="shared" si="25"/>
        <v>0</v>
      </c>
      <c r="BC21" s="19">
        <f t="shared" si="26"/>
        <v>0</v>
      </c>
      <c r="BD21" s="19">
        <f t="shared" si="27"/>
        <v>0</v>
      </c>
      <c r="BE21" s="15">
        <f t="shared" si="28"/>
        <v>0</v>
      </c>
      <c r="BF21" s="15">
        <f t="shared" si="29"/>
        <v>0</v>
      </c>
      <c r="BG21" s="5"/>
      <c r="BH21" s="5"/>
      <c r="BI21" s="14">
        <v>16</v>
      </c>
      <c r="BJ21" s="15">
        <f t="shared" si="43"/>
        <v>0</v>
      </c>
      <c r="BK21" s="24">
        <f t="shared" si="30"/>
        <v>0</v>
      </c>
      <c r="BL21" s="19">
        <f t="shared" si="31"/>
        <v>0</v>
      </c>
      <c r="BM21" s="15">
        <f t="shared" si="32"/>
        <v>0</v>
      </c>
      <c r="BN21" s="19">
        <f t="shared" si="33"/>
        <v>0</v>
      </c>
      <c r="BO21" s="19">
        <f t="shared" si="34"/>
        <v>0</v>
      </c>
      <c r="BP21" s="19">
        <f t="shared" si="35"/>
        <v>0</v>
      </c>
      <c r="BQ21" s="15">
        <f t="shared" si="36"/>
        <v>0</v>
      </c>
      <c r="BR21" s="15">
        <f t="shared" si="37"/>
        <v>0</v>
      </c>
      <c r="BS21" s="5"/>
      <c r="BT21" s="5"/>
      <c r="BU21" s="5"/>
      <c r="BV21" s="5"/>
      <c r="BW21" s="5"/>
      <c r="BX21" s="4"/>
      <c r="BY21" s="11" t="e">
        <f t="shared" si="38"/>
        <v>#REF!</v>
      </c>
      <c r="BZ21" s="11" t="str">
        <f t="shared" si="1"/>
        <v>Real Betis</v>
      </c>
      <c r="CA21" s="11">
        <f t="shared" si="39"/>
        <v>10</v>
      </c>
      <c r="CB21" s="11">
        <f t="shared" si="2"/>
        <v>1</v>
      </c>
      <c r="CC21" s="11">
        <f t="shared" si="2"/>
        <v>5</v>
      </c>
      <c r="CD21" s="11">
        <f t="shared" si="2"/>
        <v>4</v>
      </c>
      <c r="CE21" s="11">
        <f t="shared" si="2"/>
        <v>9</v>
      </c>
      <c r="CF21" s="11">
        <f t="shared" si="2"/>
        <v>11</v>
      </c>
      <c r="CG21" s="11">
        <f t="shared" si="2"/>
        <v>-2</v>
      </c>
      <c r="CH21" s="11">
        <f t="shared" si="2"/>
        <v>8</v>
      </c>
      <c r="CI21" s="5"/>
      <c r="CJ21" s="19" t="e">
        <f t="shared" si="40"/>
        <v>#REF!</v>
      </c>
      <c r="CK21" s="21">
        <v>16</v>
      </c>
      <c r="CL21" s="5" t="e">
        <f t="shared" si="3"/>
        <v>#REF!</v>
      </c>
      <c r="CM21" s="4"/>
      <c r="CN21" s="21">
        <v>16</v>
      </c>
      <c r="CO21" s="5" t="e">
        <f t="shared" si="41"/>
        <v>#REF!</v>
      </c>
    </row>
    <row r="22" spans="2:93" x14ac:dyDescent="0.25">
      <c r="B22" s="18" t="s">
        <v>47</v>
      </c>
      <c r="C22" s="18" t="e">
        <f t="shared" si="4"/>
        <v>#REF!</v>
      </c>
      <c r="D22" s="18" t="e">
        <f t="shared" si="5"/>
        <v>#REF!</v>
      </c>
      <c r="E22" s="18" t="e">
        <f t="shared" si="6"/>
        <v>#REF!</v>
      </c>
      <c r="F22" s="18" t="e">
        <f t="shared" si="7"/>
        <v>#REF!</v>
      </c>
      <c r="G22" s="18" t="e">
        <f t="shared" si="8"/>
        <v>#REF!</v>
      </c>
      <c r="H22" s="18" t="e">
        <f t="shared" si="9"/>
        <v>#REF!</v>
      </c>
      <c r="I22" s="18" t="e">
        <f t="shared" si="10"/>
        <v>#REF!</v>
      </c>
      <c r="J22" s="18" t="e">
        <f t="shared" si="11"/>
        <v>#REF!</v>
      </c>
      <c r="K22" s="18" t="e">
        <f t="shared" si="12"/>
        <v>#REF!</v>
      </c>
      <c r="L22" s="4"/>
      <c r="M22" s="4"/>
      <c r="N22" s="4"/>
      <c r="O22" s="4"/>
      <c r="P22" s="11" t="e">
        <f>#REF!</f>
        <v>#REF!</v>
      </c>
      <c r="Q22" s="11" t="str">
        <f>Classificação!P32</f>
        <v>Celta De Vigo</v>
      </c>
      <c r="R22" s="11">
        <f>Classificação!Q32</f>
        <v>10</v>
      </c>
      <c r="S22" s="11">
        <f>Classificação!R32</f>
        <v>8</v>
      </c>
      <c r="T22" s="11">
        <f>Classificação!S32</f>
        <v>1</v>
      </c>
      <c r="U22" s="11">
        <f>Classificação!T32</f>
        <v>1</v>
      </c>
      <c r="V22" s="11">
        <f>Classificação!U32</f>
        <v>19</v>
      </c>
      <c r="W22" s="11">
        <f>Classificação!V32</f>
        <v>4</v>
      </c>
      <c r="X22" s="11">
        <f>Classificação!W32</f>
        <v>15</v>
      </c>
      <c r="Y22" s="11">
        <f>Classificação!X32</f>
        <v>25</v>
      </c>
      <c r="Z22" s="5" t="e">
        <f t="shared" si="13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14"/>
        <v>0</v>
      </c>
      <c r="AO22" s="15">
        <f t="shared" si="15"/>
        <v>0</v>
      </c>
      <c r="AP22" s="15">
        <f t="shared" si="16"/>
        <v>0</v>
      </c>
      <c r="AQ22" s="15">
        <f t="shared" si="17"/>
        <v>0</v>
      </c>
      <c r="AR22" s="15">
        <f t="shared" si="18"/>
        <v>0</v>
      </c>
      <c r="AS22" s="15">
        <f t="shared" si="19"/>
        <v>0</v>
      </c>
      <c r="AT22" s="15">
        <f t="shared" si="20"/>
        <v>0</v>
      </c>
      <c r="AU22" s="15">
        <f t="shared" si="21"/>
        <v>0</v>
      </c>
      <c r="AV22" s="5"/>
      <c r="AW22" s="14">
        <v>17</v>
      </c>
      <c r="AX22" s="15">
        <f t="shared" si="22"/>
        <v>0</v>
      </c>
      <c r="AY22" s="19">
        <f t="shared" si="42"/>
        <v>0</v>
      </c>
      <c r="AZ22" s="19">
        <f t="shared" si="23"/>
        <v>0</v>
      </c>
      <c r="BA22" s="15">
        <f t="shared" si="24"/>
        <v>0</v>
      </c>
      <c r="BB22" s="19">
        <f t="shared" si="25"/>
        <v>0</v>
      </c>
      <c r="BC22" s="19">
        <f t="shared" si="26"/>
        <v>0</v>
      </c>
      <c r="BD22" s="19">
        <f t="shared" si="27"/>
        <v>0</v>
      </c>
      <c r="BE22" s="15">
        <f t="shared" si="28"/>
        <v>0</v>
      </c>
      <c r="BF22" s="15">
        <f t="shared" si="29"/>
        <v>0</v>
      </c>
      <c r="BG22" s="5"/>
      <c r="BH22" s="5"/>
      <c r="BI22" s="14">
        <v>17</v>
      </c>
      <c r="BJ22" s="15">
        <f t="shared" si="43"/>
        <v>0</v>
      </c>
      <c r="BK22" s="24">
        <f t="shared" si="30"/>
        <v>0</v>
      </c>
      <c r="BL22" s="19">
        <f t="shared" si="31"/>
        <v>0</v>
      </c>
      <c r="BM22" s="15">
        <f t="shared" si="32"/>
        <v>0</v>
      </c>
      <c r="BN22" s="19">
        <f t="shared" si="33"/>
        <v>0</v>
      </c>
      <c r="BO22" s="19">
        <f t="shared" si="34"/>
        <v>0</v>
      </c>
      <c r="BP22" s="19">
        <f t="shared" si="35"/>
        <v>0</v>
      </c>
      <c r="BQ22" s="15">
        <f t="shared" si="36"/>
        <v>0</v>
      </c>
      <c r="BR22" s="15">
        <f t="shared" si="37"/>
        <v>0</v>
      </c>
      <c r="BS22" s="5"/>
      <c r="BT22" s="5"/>
      <c r="BU22" s="5"/>
      <c r="BV22" s="5"/>
      <c r="BW22" s="5"/>
      <c r="BX22" s="4"/>
      <c r="BY22" s="11" t="e">
        <f t="shared" si="38"/>
        <v>#REF!</v>
      </c>
      <c r="BZ22" s="11" t="str">
        <f t="shared" si="1"/>
        <v>Celta De Vigo</v>
      </c>
      <c r="CA22" s="11">
        <f t="shared" si="39"/>
        <v>10</v>
      </c>
      <c r="CB22" s="11">
        <f t="shared" si="2"/>
        <v>8</v>
      </c>
      <c r="CC22" s="11">
        <f t="shared" si="2"/>
        <v>1</v>
      </c>
      <c r="CD22" s="11">
        <f t="shared" si="2"/>
        <v>1</v>
      </c>
      <c r="CE22" s="11">
        <f t="shared" si="2"/>
        <v>19</v>
      </c>
      <c r="CF22" s="11">
        <f t="shared" si="2"/>
        <v>4</v>
      </c>
      <c r="CG22" s="11">
        <f t="shared" si="2"/>
        <v>15</v>
      </c>
      <c r="CH22" s="11">
        <f t="shared" si="2"/>
        <v>25</v>
      </c>
      <c r="CI22" s="5"/>
      <c r="CJ22" s="19" t="e">
        <f t="shared" si="40"/>
        <v>#REF!</v>
      </c>
      <c r="CK22" s="21">
        <v>17</v>
      </c>
      <c r="CL22" s="5" t="e">
        <f t="shared" si="3"/>
        <v>#REF!</v>
      </c>
      <c r="CM22" s="4"/>
      <c r="CN22" s="21">
        <v>17</v>
      </c>
      <c r="CO22" s="5" t="e">
        <f t="shared" si="41"/>
        <v>#REF!</v>
      </c>
    </row>
    <row r="23" spans="2:93" x14ac:dyDescent="0.25">
      <c r="B23" s="11" t="s">
        <v>48</v>
      </c>
      <c r="C23" s="11" t="e">
        <f t="shared" si="4"/>
        <v>#REF!</v>
      </c>
      <c r="D23" s="11" t="e">
        <f t="shared" si="5"/>
        <v>#REF!</v>
      </c>
      <c r="E23" s="11" t="e">
        <f t="shared" si="6"/>
        <v>#REF!</v>
      </c>
      <c r="F23" s="11" t="e">
        <f t="shared" si="7"/>
        <v>#REF!</v>
      </c>
      <c r="G23" s="11" t="e">
        <f t="shared" si="8"/>
        <v>#REF!</v>
      </c>
      <c r="H23" s="11" t="e">
        <f t="shared" si="9"/>
        <v>#REF!</v>
      </c>
      <c r="I23" s="11" t="e">
        <f t="shared" si="10"/>
        <v>#REF!</v>
      </c>
      <c r="J23" s="11" t="e">
        <f t="shared" si="11"/>
        <v>#REF!</v>
      </c>
      <c r="K23" s="11" t="e">
        <f t="shared" si="12"/>
        <v>#REF!</v>
      </c>
      <c r="L23" s="4"/>
      <c r="M23" s="4"/>
      <c r="N23" s="4"/>
      <c r="O23" s="4"/>
      <c r="P23" s="11" t="e">
        <f>#REF!</f>
        <v>#REF!</v>
      </c>
      <c r="Q23" s="11" t="str">
        <f>Classificação!P33</f>
        <v>Everton</v>
      </c>
      <c r="R23" s="11">
        <f>Classificação!Q33</f>
        <v>10</v>
      </c>
      <c r="S23" s="11">
        <f>Classificação!R33</f>
        <v>1</v>
      </c>
      <c r="T23" s="11">
        <f>Classificação!S33</f>
        <v>2</v>
      </c>
      <c r="U23" s="11">
        <f>Classificação!T33</f>
        <v>7</v>
      </c>
      <c r="V23" s="11">
        <f>Classificação!U33</f>
        <v>8</v>
      </c>
      <c r="W23" s="11">
        <f>Classificação!V33</f>
        <v>24</v>
      </c>
      <c r="X23" s="11">
        <f>Classificação!W33</f>
        <v>-16</v>
      </c>
      <c r="Y23" s="11">
        <f>Classificação!X33</f>
        <v>5</v>
      </c>
      <c r="Z23" s="5" t="e">
        <f t="shared" si="13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14"/>
        <v>0</v>
      </c>
      <c r="AO23" s="15">
        <f t="shared" si="15"/>
        <v>0</v>
      </c>
      <c r="AP23" s="15">
        <f t="shared" si="16"/>
        <v>0</v>
      </c>
      <c r="AQ23" s="15">
        <f t="shared" si="17"/>
        <v>0</v>
      </c>
      <c r="AR23" s="15">
        <f t="shared" si="18"/>
        <v>0</v>
      </c>
      <c r="AS23" s="15">
        <f t="shared" si="19"/>
        <v>0</v>
      </c>
      <c r="AT23" s="15">
        <f t="shared" si="20"/>
        <v>0</v>
      </c>
      <c r="AU23" s="15">
        <f t="shared" si="21"/>
        <v>0</v>
      </c>
      <c r="AV23" s="5"/>
      <c r="AW23" s="14">
        <v>18</v>
      </c>
      <c r="AX23" s="15">
        <f t="shared" si="22"/>
        <v>0</v>
      </c>
      <c r="AY23" s="19">
        <f t="shared" si="42"/>
        <v>0</v>
      </c>
      <c r="AZ23" s="19">
        <f t="shared" si="23"/>
        <v>0</v>
      </c>
      <c r="BA23" s="15">
        <f t="shared" si="24"/>
        <v>0</v>
      </c>
      <c r="BB23" s="19">
        <f t="shared" si="25"/>
        <v>0</v>
      </c>
      <c r="BC23" s="19">
        <f t="shared" si="26"/>
        <v>0</v>
      </c>
      <c r="BD23" s="19">
        <f t="shared" si="27"/>
        <v>0</v>
      </c>
      <c r="BE23" s="15">
        <f t="shared" si="28"/>
        <v>0</v>
      </c>
      <c r="BF23" s="15">
        <f t="shared" si="29"/>
        <v>0</v>
      </c>
      <c r="BG23" s="5"/>
      <c r="BH23" s="5"/>
      <c r="BI23" s="14">
        <v>18</v>
      </c>
      <c r="BJ23" s="15">
        <f t="shared" si="43"/>
        <v>0</v>
      </c>
      <c r="BK23" s="24">
        <f t="shared" si="30"/>
        <v>0</v>
      </c>
      <c r="BL23" s="19">
        <f t="shared" si="31"/>
        <v>0</v>
      </c>
      <c r="BM23" s="15">
        <f t="shared" si="32"/>
        <v>0</v>
      </c>
      <c r="BN23" s="19">
        <f t="shared" si="33"/>
        <v>0</v>
      </c>
      <c r="BO23" s="19">
        <f t="shared" si="34"/>
        <v>0</v>
      </c>
      <c r="BP23" s="19">
        <f t="shared" si="35"/>
        <v>0</v>
      </c>
      <c r="BQ23" s="15">
        <f t="shared" si="36"/>
        <v>0</v>
      </c>
      <c r="BR23" s="15">
        <f t="shared" si="37"/>
        <v>0</v>
      </c>
      <c r="BS23" s="5"/>
      <c r="BT23" s="5"/>
      <c r="BU23" s="5"/>
      <c r="BV23" s="5"/>
      <c r="BW23" s="5"/>
      <c r="BX23" s="4"/>
      <c r="BY23" s="11" t="e">
        <f t="shared" si="38"/>
        <v>#REF!</v>
      </c>
      <c r="BZ23" s="11" t="str">
        <f t="shared" si="1"/>
        <v>Everton</v>
      </c>
      <c r="CA23" s="11">
        <f t="shared" si="39"/>
        <v>10</v>
      </c>
      <c r="CB23" s="11">
        <f t="shared" si="2"/>
        <v>1</v>
      </c>
      <c r="CC23" s="11">
        <f t="shared" si="2"/>
        <v>2</v>
      </c>
      <c r="CD23" s="11">
        <f t="shared" si="2"/>
        <v>7</v>
      </c>
      <c r="CE23" s="11">
        <f t="shared" si="2"/>
        <v>8</v>
      </c>
      <c r="CF23" s="11">
        <f t="shared" si="2"/>
        <v>24</v>
      </c>
      <c r="CG23" s="11">
        <f t="shared" si="2"/>
        <v>-16</v>
      </c>
      <c r="CH23" s="11">
        <f t="shared" si="2"/>
        <v>5</v>
      </c>
      <c r="CI23" s="5"/>
      <c r="CJ23" s="19" t="e">
        <f t="shared" si="40"/>
        <v>#REF!</v>
      </c>
      <c r="CK23" s="21">
        <v>18</v>
      </c>
      <c r="CL23" s="5" t="e">
        <f t="shared" si="3"/>
        <v>#REF!</v>
      </c>
      <c r="CM23" s="4"/>
      <c r="CN23" s="21">
        <v>18</v>
      </c>
      <c r="CO23" s="5" t="e">
        <f t="shared" si="41"/>
        <v>#REF!</v>
      </c>
    </row>
    <row r="24" spans="2:93" ht="23.25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51" t="s">
        <v>49</v>
      </c>
      <c r="BJ24" s="151"/>
      <c r="BK24" s="151"/>
      <c r="BL24" s="151"/>
      <c r="BM24" s="151"/>
      <c r="BN24" s="151"/>
      <c r="BO24" s="151"/>
      <c r="BP24" s="151"/>
      <c r="BQ24" s="151"/>
      <c r="BR24" s="151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Jogos!#REF!</f>
        <v>#REF!</v>
      </c>
      <c r="AX26" s="19" t="e">
        <f>Jogos!#REF!</f>
        <v>#REF!</v>
      </c>
      <c r="AY26" s="19" t="e">
        <f>Jogos!#REF!</f>
        <v>#REF!</v>
      </c>
      <c r="AZ26" s="19" t="e">
        <f>Jogos!#REF!</f>
        <v>#REF!</v>
      </c>
      <c r="BA26" s="19" t="e">
        <f>Jogos!#REF!</f>
        <v>#REF!</v>
      </c>
      <c r="BB26" s="19" t="e">
        <f>Jogos!#REF!</f>
        <v>#REF!</v>
      </c>
      <c r="BC26" s="19" t="e">
        <f>Jogos!#REF!</f>
        <v>#REF!</v>
      </c>
      <c r="BD26" s="19" t="e">
        <f>Jogos!#REF!</f>
        <v>#REF!</v>
      </c>
      <c r="BE26" s="19" t="e">
        <f>Jogos!#REF!</f>
        <v>#REF!</v>
      </c>
      <c r="BF26" s="19" t="e">
        <f>Jogos!#REF!</f>
        <v>#REF!</v>
      </c>
      <c r="BG26" s="4"/>
      <c r="BH26" s="4"/>
      <c r="BI26" s="19" t="e">
        <f>Jogos!#REF!</f>
        <v>#REF!</v>
      </c>
      <c r="BJ26" s="19" t="e">
        <f>Jogos!#REF!</f>
        <v>#REF!</v>
      </c>
      <c r="BK26" s="19" t="e">
        <f>Jogos!#REF!</f>
        <v>#REF!</v>
      </c>
      <c r="BL26" s="19" t="e">
        <f>Jogos!#REF!</f>
        <v>#REF!</v>
      </c>
      <c r="BM26" s="19" t="e">
        <f>Jogos!#REF!</f>
        <v>#REF!</v>
      </c>
      <c r="BN26" s="19" t="e">
        <f>Jogos!#REF!</f>
        <v>#REF!</v>
      </c>
      <c r="BO26" s="19" t="e">
        <f>Jogos!#REF!</f>
        <v>#REF!</v>
      </c>
      <c r="BP26" s="19" t="e">
        <f>Jogos!#REF!</f>
        <v>#REF!</v>
      </c>
      <c r="BQ26" s="19" t="e">
        <f>Jogos!#REF!</f>
        <v>#REF!</v>
      </c>
      <c r="BR26" s="19" t="e">
        <f>Jogos!#REF!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Jogos!#REF!</f>
        <v>#REF!</v>
      </c>
      <c r="AM27" s="19" t="e">
        <f>Jogos!#REF!</f>
        <v>#REF!</v>
      </c>
      <c r="AN27" s="19" t="e">
        <f>Jogos!#REF!</f>
        <v>#REF!</v>
      </c>
      <c r="AO27" s="19" t="e">
        <f>Jogos!#REF!</f>
        <v>#REF!</v>
      </c>
      <c r="AP27" s="19" t="e">
        <f>Jogos!#REF!</f>
        <v>#REF!</v>
      </c>
      <c r="AQ27" s="19" t="e">
        <f>Jogos!#REF!</f>
        <v>#REF!</v>
      </c>
      <c r="AR27" s="19" t="e">
        <f>Jogos!#REF!</f>
        <v>#REF!</v>
      </c>
      <c r="AS27" s="19" t="e">
        <f>Jogos!#REF!</f>
        <v>#REF!</v>
      </c>
      <c r="AT27" s="19" t="e">
        <f>Jogos!#REF!</f>
        <v>#REF!</v>
      </c>
      <c r="AU27" s="19" t="e">
        <f>Jogos!#REF!</f>
        <v>#REF!</v>
      </c>
      <c r="AV27" s="4"/>
      <c r="AW27" s="19" t="e">
        <f>Jogos!#REF!</f>
        <v>#REF!</v>
      </c>
      <c r="AX27" s="19" t="e">
        <f>Jogos!#REF!</f>
        <v>#REF!</v>
      </c>
      <c r="AY27" s="19" t="e">
        <f>Jogos!#REF!</f>
        <v>#REF!</v>
      </c>
      <c r="AZ27" s="19" t="e">
        <f>Jogos!#REF!</f>
        <v>#REF!</v>
      </c>
      <c r="BA27" s="19" t="e">
        <f>Jogos!#REF!</f>
        <v>#REF!</v>
      </c>
      <c r="BB27" s="19" t="e">
        <f>Jogos!#REF!</f>
        <v>#REF!</v>
      </c>
      <c r="BC27" s="19" t="e">
        <f>Jogos!#REF!</f>
        <v>#REF!</v>
      </c>
      <c r="BD27" s="19" t="e">
        <f>Jogos!#REF!</f>
        <v>#REF!</v>
      </c>
      <c r="BE27" s="19" t="e">
        <f>Jogos!#REF!</f>
        <v>#REF!</v>
      </c>
      <c r="BF27" s="19" t="e">
        <f>Jogos!#REF!</f>
        <v>#REF!</v>
      </c>
      <c r="BG27" s="4"/>
      <c r="BH27" s="4"/>
      <c r="BI27" s="19" t="e">
        <f>Jogos!#REF!</f>
        <v>#REF!</v>
      </c>
      <c r="BJ27" s="19" t="e">
        <f>Jogos!#REF!</f>
        <v>#REF!</v>
      </c>
      <c r="BK27" s="19" t="e">
        <f>Jogos!#REF!</f>
        <v>#REF!</v>
      </c>
      <c r="BL27" s="19" t="e">
        <f>Jogos!#REF!</f>
        <v>#REF!</v>
      </c>
      <c r="BM27" s="19" t="e">
        <f>Jogos!#REF!</f>
        <v>#REF!</v>
      </c>
      <c r="BN27" s="19" t="e">
        <f>Jogos!#REF!</f>
        <v>#REF!</v>
      </c>
      <c r="BO27" s="19" t="e">
        <f>Jogos!#REF!</f>
        <v>#REF!</v>
      </c>
      <c r="BP27" s="19" t="e">
        <f>Jogos!#REF!</f>
        <v>#REF!</v>
      </c>
      <c r="BQ27" s="19" t="e">
        <f>Jogos!#REF!</f>
        <v>#REF!</v>
      </c>
      <c r="BR27" s="19" t="e">
        <f>Jogos!#REF!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Jogos!#REF!</f>
        <v>#REF!</v>
      </c>
      <c r="AM28" s="19" t="e">
        <f>Jogos!#REF!</f>
        <v>#REF!</v>
      </c>
      <c r="AN28" s="19" t="e">
        <f>Jogos!#REF!</f>
        <v>#REF!</v>
      </c>
      <c r="AO28" s="19" t="e">
        <f>Jogos!#REF!</f>
        <v>#REF!</v>
      </c>
      <c r="AP28" s="19" t="e">
        <f>Jogos!#REF!</f>
        <v>#REF!</v>
      </c>
      <c r="AQ28" s="19" t="e">
        <f>Jogos!#REF!</f>
        <v>#REF!</v>
      </c>
      <c r="AR28" s="19" t="e">
        <f>Jogos!#REF!</f>
        <v>#REF!</v>
      </c>
      <c r="AS28" s="19" t="e">
        <f>Jogos!#REF!</f>
        <v>#REF!</v>
      </c>
      <c r="AT28" s="19" t="e">
        <f>Jogos!#REF!</f>
        <v>#REF!</v>
      </c>
      <c r="AU28" s="19" t="e">
        <f>Jogos!#REF!</f>
        <v>#REF!</v>
      </c>
      <c r="AV28" s="4"/>
      <c r="AW28" s="19" t="e">
        <f>Jogos!#REF!</f>
        <v>#REF!</v>
      </c>
      <c r="AX28" s="19" t="e">
        <f>Jogos!#REF!</f>
        <v>#REF!</v>
      </c>
      <c r="AY28" s="19" t="e">
        <f>Jogos!#REF!</f>
        <v>#REF!</v>
      </c>
      <c r="AZ28" s="19" t="e">
        <f>Jogos!#REF!</f>
        <v>#REF!</v>
      </c>
      <c r="BA28" s="19" t="e">
        <f>Jogos!#REF!</f>
        <v>#REF!</v>
      </c>
      <c r="BB28" s="19" t="e">
        <f>Jogos!#REF!</f>
        <v>#REF!</v>
      </c>
      <c r="BC28" s="19" t="e">
        <f>Jogos!#REF!</f>
        <v>#REF!</v>
      </c>
      <c r="BD28" s="19" t="e">
        <f>Jogos!#REF!</f>
        <v>#REF!</v>
      </c>
      <c r="BE28" s="19" t="e">
        <f>Jogos!#REF!</f>
        <v>#REF!</v>
      </c>
      <c r="BF28" s="19" t="e">
        <f>Jogos!#REF!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Jogos!#REF!</f>
        <v>#REF!</v>
      </c>
      <c r="AM29" s="19" t="e">
        <f>Jogos!#REF!</f>
        <v>#REF!</v>
      </c>
      <c r="AN29" s="19" t="e">
        <f>Jogos!#REF!</f>
        <v>#REF!</v>
      </c>
      <c r="AO29" s="19" t="e">
        <f>Jogos!#REF!</f>
        <v>#REF!</v>
      </c>
      <c r="AP29" s="19" t="e">
        <f>Jogos!#REF!</f>
        <v>#REF!</v>
      </c>
      <c r="AQ29" s="19" t="e">
        <f>Jogos!#REF!</f>
        <v>#REF!</v>
      </c>
      <c r="AR29" s="19" t="e">
        <f>Jogos!#REF!</f>
        <v>#REF!</v>
      </c>
      <c r="AS29" s="19" t="e">
        <f>Jogos!#REF!</f>
        <v>#REF!</v>
      </c>
      <c r="AT29" s="19" t="e">
        <f>Jogos!#REF!</f>
        <v>#REF!</v>
      </c>
      <c r="AU29" s="19" t="e">
        <f>Jogos!#REF!</f>
        <v>#REF!</v>
      </c>
      <c r="AV29" s="4"/>
      <c r="AW29" s="19" t="e">
        <f>Jogos!#REF!</f>
        <v>#REF!</v>
      </c>
      <c r="AX29" s="19" t="e">
        <f>Jogos!#REF!</f>
        <v>#REF!</v>
      </c>
      <c r="AY29" s="19" t="e">
        <f>Jogos!#REF!</f>
        <v>#REF!</v>
      </c>
      <c r="AZ29" s="19" t="e">
        <f>Jogos!#REF!</f>
        <v>#REF!</v>
      </c>
      <c r="BA29" s="19" t="e">
        <f>Jogos!#REF!</f>
        <v>#REF!</v>
      </c>
      <c r="BB29" s="19" t="e">
        <f>Jogos!#REF!</f>
        <v>#REF!</v>
      </c>
      <c r="BC29" s="19" t="e">
        <f>Jogos!#REF!</f>
        <v>#REF!</v>
      </c>
      <c r="BD29" s="19" t="e">
        <f>Jogos!#REF!</f>
        <v>#REF!</v>
      </c>
      <c r="BE29" s="19" t="e">
        <f>Jogos!#REF!</f>
        <v>#REF!</v>
      </c>
      <c r="BF29" s="19" t="e">
        <f>Jogos!#REF!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Jogos!#REF!</f>
        <v>#REF!</v>
      </c>
      <c r="AM30" s="19" t="e">
        <f>Jogos!#REF!</f>
        <v>#REF!</v>
      </c>
      <c r="AN30" s="19" t="e">
        <f>Jogos!#REF!</f>
        <v>#REF!</v>
      </c>
      <c r="AO30" s="19" t="e">
        <f>Jogos!#REF!</f>
        <v>#REF!</v>
      </c>
      <c r="AP30" s="19" t="e">
        <f>Jogos!#REF!</f>
        <v>#REF!</v>
      </c>
      <c r="AQ30" s="19" t="e">
        <f>Jogos!#REF!</f>
        <v>#REF!</v>
      </c>
      <c r="AR30" s="19" t="e">
        <f>Jogos!#REF!</f>
        <v>#REF!</v>
      </c>
      <c r="AS30" s="19" t="e">
        <f>Jogos!#REF!</f>
        <v>#REF!</v>
      </c>
      <c r="AT30" s="19" t="e">
        <f>Jogos!#REF!</f>
        <v>#REF!</v>
      </c>
      <c r="AU30" s="19" t="e">
        <f>Jogos!#REF!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Jogos!#REF!</f>
        <v>#REF!</v>
      </c>
      <c r="AM31" s="19" t="e">
        <f>Jogos!#REF!</f>
        <v>#REF!</v>
      </c>
      <c r="AN31" s="19" t="e">
        <f>Jogos!#REF!</f>
        <v>#REF!</v>
      </c>
      <c r="AO31" s="19" t="e">
        <f>Jogos!#REF!</f>
        <v>#REF!</v>
      </c>
      <c r="AP31" s="19" t="e">
        <f>Jogos!#REF!</f>
        <v>#REF!</v>
      </c>
      <c r="AQ31" s="19" t="e">
        <f>Jogos!#REF!</f>
        <v>#REF!</v>
      </c>
      <c r="AR31" s="19" t="e">
        <f>Jogos!#REF!</f>
        <v>#REF!</v>
      </c>
      <c r="AS31" s="19" t="e">
        <f>Jogos!#REF!</f>
        <v>#REF!</v>
      </c>
      <c r="AT31" s="19" t="e">
        <f>Jogos!#REF!</f>
        <v>#REF!</v>
      </c>
      <c r="AU31" s="19" t="e">
        <f>Jogos!#REF!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Jogos!#REF!</f>
        <v>#REF!</v>
      </c>
      <c r="AM32" s="19" t="e">
        <f>Jogos!#REF!</f>
        <v>#REF!</v>
      </c>
      <c r="AN32" s="19" t="e">
        <f>Jogos!#REF!</f>
        <v>#REF!</v>
      </c>
      <c r="AO32" s="19" t="e">
        <f>Jogos!#REF!</f>
        <v>#REF!</v>
      </c>
      <c r="AP32" s="19" t="e">
        <f>Jogos!#REF!</f>
        <v>#REF!</v>
      </c>
      <c r="AQ32" s="19" t="e">
        <f>Jogos!#REF!</f>
        <v>#REF!</v>
      </c>
      <c r="AR32" s="19" t="e">
        <f>Jogos!#REF!</f>
        <v>#REF!</v>
      </c>
      <c r="AS32" s="19" t="e">
        <f>Jogos!#REF!</f>
        <v>#REF!</v>
      </c>
      <c r="AT32" s="19" t="e">
        <f>Jogos!#REF!</f>
        <v>#REF!</v>
      </c>
      <c r="AU32" s="19" t="e">
        <f>Jogos!#REF!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Jogos!#REF!</f>
        <v>#REF!</v>
      </c>
      <c r="AM33" s="19" t="e">
        <f>Jogos!#REF!</f>
        <v>#REF!</v>
      </c>
      <c r="AN33" s="19" t="e">
        <f>Jogos!#REF!</f>
        <v>#REF!</v>
      </c>
      <c r="AO33" s="19" t="e">
        <f>Jogos!#REF!</f>
        <v>#REF!</v>
      </c>
      <c r="AP33" s="19" t="e">
        <f>Jogos!#REF!</f>
        <v>#REF!</v>
      </c>
      <c r="AQ33" s="19" t="e">
        <f>Jogos!#REF!</f>
        <v>#REF!</v>
      </c>
      <c r="AR33" s="19" t="e">
        <f>Jogos!#REF!</f>
        <v>#REF!</v>
      </c>
      <c r="AS33" s="19" t="e">
        <f>Jogos!#REF!</f>
        <v>#REF!</v>
      </c>
      <c r="AT33" s="19" t="e">
        <f>Jogos!#REF!</f>
        <v>#REF!</v>
      </c>
      <c r="AU33" s="19" t="e">
        <f>Jogos!#REF!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Jogos!#REF!</f>
        <v>#REF!</v>
      </c>
      <c r="AM34" s="19" t="e">
        <f>Jogos!#REF!</f>
        <v>#REF!</v>
      </c>
      <c r="AN34" s="19" t="e">
        <f>Jogos!#REF!</f>
        <v>#REF!</v>
      </c>
      <c r="AO34" s="19" t="e">
        <f>Jogos!#REF!</f>
        <v>#REF!</v>
      </c>
      <c r="AP34" s="19" t="e">
        <f>Jogos!#REF!</f>
        <v>#REF!</v>
      </c>
      <c r="AQ34" s="19" t="e">
        <f>Jogos!#REF!</f>
        <v>#REF!</v>
      </c>
      <c r="AR34" s="19" t="e">
        <f>Jogos!#REF!</f>
        <v>#REF!</v>
      </c>
      <c r="AS34" s="19" t="e">
        <f>Jogos!#REF!</f>
        <v>#REF!</v>
      </c>
      <c r="AT34" s="19" t="e">
        <f>Jogos!#REF!</f>
        <v>#REF!</v>
      </c>
      <c r="AU34" s="19" t="e">
        <f>Jogos!#REF!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S70"/>
  <sheetViews>
    <sheetView showGridLines="0" zoomScale="90" zoomScaleNormal="90" workbookViewId="0">
      <selection activeCell="CV7" sqref="CV7"/>
    </sheetView>
  </sheetViews>
  <sheetFormatPr defaultRowHeight="21" customHeight="1" x14ac:dyDescent="0.25"/>
  <cols>
    <col min="1" max="2" width="9.140625" style="72"/>
    <col min="3" max="3" width="18" style="72" customWidth="1"/>
    <col min="4" max="8" width="9.140625" style="72"/>
    <col min="9" max="9" width="10.28515625" style="72" bestFit="1" customWidth="1"/>
    <col min="10" max="11" width="9.140625" style="72"/>
    <col min="12" max="12" width="8.85546875" style="72" customWidth="1"/>
    <col min="13" max="16" width="9.140625" style="72" hidden="1" customWidth="1"/>
    <col min="17" max="17" width="15.42578125" style="72" hidden="1" customWidth="1"/>
    <col min="18" max="24" width="9.140625" style="72" hidden="1" customWidth="1"/>
    <col min="25" max="25" width="7.140625" style="72" hidden="1" customWidth="1"/>
    <col min="26" max="27" width="7.140625" style="73" hidden="1" customWidth="1"/>
    <col min="28" max="28" width="9.140625" style="72" hidden="1" customWidth="1"/>
    <col min="29" max="29" width="15.42578125" style="72" hidden="1" customWidth="1"/>
    <col min="30" max="36" width="9.140625" style="72" hidden="1" customWidth="1"/>
    <col min="37" max="37" width="7.140625" style="72" hidden="1" customWidth="1"/>
    <col min="38" max="39" width="9.140625" style="72" hidden="1" customWidth="1"/>
    <col min="40" max="40" width="14.85546875" style="72" hidden="1" customWidth="1"/>
    <col min="41" max="49" width="9.140625" style="72" hidden="1" customWidth="1"/>
    <col min="50" max="50" width="12.42578125" style="72" hidden="1" customWidth="1"/>
    <col min="51" max="51" width="12" style="72" hidden="1" customWidth="1"/>
    <col min="52" max="52" width="12.28515625" style="72" hidden="1" customWidth="1"/>
    <col min="53" max="62" width="9.140625" style="72" hidden="1" customWidth="1"/>
    <col min="63" max="63" width="12" style="72" hidden="1" customWidth="1"/>
    <col min="64" max="78" width="9.140625" style="72" hidden="1" customWidth="1"/>
    <col min="79" max="79" width="13.140625" style="72" hidden="1" customWidth="1"/>
    <col min="80" max="97" width="9.140625" style="72" hidden="1" customWidth="1"/>
    <col min="98" max="116" width="9.140625" style="72" customWidth="1"/>
    <col min="117" max="16384" width="9.140625" style="72"/>
  </cols>
  <sheetData>
    <row r="2" spans="2:97" ht="21" customHeight="1" x14ac:dyDescent="0.35">
      <c r="B2" s="168" t="s">
        <v>52</v>
      </c>
      <c r="C2" s="168"/>
      <c r="D2" s="168"/>
      <c r="E2" s="168"/>
      <c r="F2" s="168"/>
      <c r="G2" s="168"/>
      <c r="H2" s="168"/>
      <c r="I2" s="168"/>
      <c r="J2" s="168"/>
      <c r="K2" s="168"/>
      <c r="L2" s="62"/>
      <c r="M2" s="62"/>
      <c r="N2" s="62"/>
      <c r="O2" s="62"/>
      <c r="P2" s="169" t="s">
        <v>38</v>
      </c>
      <c r="Q2" s="169"/>
      <c r="R2" s="169"/>
      <c r="S2" s="169"/>
      <c r="T2" s="169"/>
      <c r="U2" s="169"/>
      <c r="V2" s="169"/>
      <c r="W2" s="169"/>
      <c r="X2" s="169"/>
      <c r="Y2" s="169"/>
      <c r="Z2" s="62"/>
      <c r="AA2" s="62"/>
      <c r="AB2" s="168" t="s">
        <v>39</v>
      </c>
      <c r="AC2" s="168"/>
      <c r="AD2" s="168"/>
      <c r="AE2" s="168"/>
      <c r="AF2" s="168"/>
      <c r="AG2" s="168"/>
      <c r="AH2" s="168"/>
      <c r="AI2" s="168"/>
      <c r="AJ2" s="168"/>
      <c r="AK2" s="168"/>
      <c r="AL2" s="69"/>
      <c r="AM2" s="168" t="s">
        <v>34</v>
      </c>
      <c r="AN2" s="168"/>
      <c r="AO2" s="168"/>
      <c r="AP2" s="168"/>
      <c r="AQ2" s="168"/>
      <c r="AR2" s="168"/>
      <c r="AS2" s="168"/>
      <c r="AT2" s="168"/>
      <c r="AU2" s="168"/>
      <c r="AV2" s="168"/>
      <c r="AW2" s="62"/>
      <c r="AX2" s="168" t="s">
        <v>35</v>
      </c>
      <c r="AY2" s="168"/>
      <c r="AZ2" s="168"/>
      <c r="BA2" s="168"/>
      <c r="BB2" s="168"/>
      <c r="BC2" s="168"/>
      <c r="BD2" s="168"/>
      <c r="BE2" s="168"/>
      <c r="BF2" s="168"/>
      <c r="BG2" s="168"/>
      <c r="BH2" s="62"/>
      <c r="BI2" s="62"/>
      <c r="BJ2" s="168" t="s">
        <v>37</v>
      </c>
      <c r="BK2" s="168"/>
      <c r="BL2" s="168"/>
      <c r="BM2" s="168"/>
      <c r="BN2" s="168"/>
      <c r="BO2" s="168"/>
      <c r="BP2" s="168"/>
      <c r="BQ2" s="168"/>
      <c r="BR2" s="168"/>
      <c r="BS2" s="168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</row>
    <row r="3" spans="2:97" ht="21" customHeight="1" x14ac:dyDescent="0.35"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62"/>
      <c r="M3" s="62"/>
      <c r="N3" s="62"/>
      <c r="O3" s="62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62"/>
      <c r="AA3" s="62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6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62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62"/>
      <c r="BI3" s="62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</row>
    <row r="4" spans="2:97" ht="21" customHeight="1" x14ac:dyDescent="0.25">
      <c r="B4" s="52" t="s">
        <v>0</v>
      </c>
      <c r="C4" s="52" t="s">
        <v>1</v>
      </c>
      <c r="D4" s="52" t="s">
        <v>2</v>
      </c>
      <c r="E4" s="52" t="s">
        <v>3</v>
      </c>
      <c r="F4" s="52" t="s">
        <v>4</v>
      </c>
      <c r="G4" s="52" t="s">
        <v>5</v>
      </c>
      <c r="H4" s="52" t="s">
        <v>6</v>
      </c>
      <c r="I4" s="52" t="s">
        <v>7</v>
      </c>
      <c r="J4" s="52" t="s">
        <v>8</v>
      </c>
      <c r="K4" s="50" t="s">
        <v>9</v>
      </c>
      <c r="L4" s="62"/>
      <c r="M4" s="62"/>
      <c r="N4" s="62"/>
      <c r="O4" s="62"/>
      <c r="P4" s="52" t="s">
        <v>19</v>
      </c>
      <c r="Q4" s="52" t="s">
        <v>1</v>
      </c>
      <c r="R4" s="52" t="s">
        <v>2</v>
      </c>
      <c r="S4" s="52" t="s">
        <v>3</v>
      </c>
      <c r="T4" s="52" t="s">
        <v>4</v>
      </c>
      <c r="U4" s="52" t="s">
        <v>5</v>
      </c>
      <c r="V4" s="52" t="s">
        <v>6</v>
      </c>
      <c r="W4" s="52" t="s">
        <v>7</v>
      </c>
      <c r="X4" s="52" t="s">
        <v>8</v>
      </c>
      <c r="Y4" s="60" t="s">
        <v>9</v>
      </c>
      <c r="Z4" s="62"/>
      <c r="AA4" s="62"/>
      <c r="AB4" s="54" t="s">
        <v>19</v>
      </c>
      <c r="AC4" s="54" t="s">
        <v>1</v>
      </c>
      <c r="AD4" s="54" t="s">
        <v>2</v>
      </c>
      <c r="AE4" s="54" t="s">
        <v>3</v>
      </c>
      <c r="AF4" s="54" t="s">
        <v>4</v>
      </c>
      <c r="AG4" s="54" t="s">
        <v>5</v>
      </c>
      <c r="AH4" s="54" t="s">
        <v>6</v>
      </c>
      <c r="AI4" s="54" t="s">
        <v>7</v>
      </c>
      <c r="AJ4" s="54" t="s">
        <v>8</v>
      </c>
      <c r="AK4" s="55" t="s">
        <v>9</v>
      </c>
      <c r="AL4" s="58"/>
      <c r="AM4" s="54" t="s">
        <v>19</v>
      </c>
      <c r="AN4" s="54" t="s">
        <v>1</v>
      </c>
      <c r="AO4" s="54" t="s">
        <v>2</v>
      </c>
      <c r="AP4" s="54" t="s">
        <v>3</v>
      </c>
      <c r="AQ4" s="54" t="s">
        <v>4</v>
      </c>
      <c r="AR4" s="54" t="s">
        <v>5</v>
      </c>
      <c r="AS4" s="54" t="s">
        <v>6</v>
      </c>
      <c r="AT4" s="54" t="s">
        <v>7</v>
      </c>
      <c r="AU4" s="54" t="s">
        <v>8</v>
      </c>
      <c r="AV4" s="55" t="s">
        <v>9</v>
      </c>
      <c r="AW4" s="62" t="s">
        <v>58</v>
      </c>
      <c r="AX4" s="54" t="s">
        <v>19</v>
      </c>
      <c r="AY4" s="54" t="s">
        <v>1</v>
      </c>
      <c r="AZ4" s="54" t="s">
        <v>2</v>
      </c>
      <c r="BA4" s="54" t="s">
        <v>3</v>
      </c>
      <c r="BB4" s="54" t="s">
        <v>4</v>
      </c>
      <c r="BC4" s="54" t="s">
        <v>5</v>
      </c>
      <c r="BD4" s="54" t="s">
        <v>6</v>
      </c>
      <c r="BE4" s="54" t="s">
        <v>7</v>
      </c>
      <c r="BF4" s="54" t="s">
        <v>8</v>
      </c>
      <c r="BG4" s="55" t="s">
        <v>9</v>
      </c>
      <c r="BH4" s="62"/>
      <c r="BI4" s="62"/>
      <c r="BJ4" s="54" t="s">
        <v>19</v>
      </c>
      <c r="BK4" s="54" t="s">
        <v>1</v>
      </c>
      <c r="BL4" s="54" t="s">
        <v>2</v>
      </c>
      <c r="BM4" s="54" t="s">
        <v>3</v>
      </c>
      <c r="BN4" s="54" t="s">
        <v>4</v>
      </c>
      <c r="BO4" s="54" t="s">
        <v>5</v>
      </c>
      <c r="BP4" s="54" t="s">
        <v>6</v>
      </c>
      <c r="BQ4" s="54" t="s">
        <v>7</v>
      </c>
      <c r="BR4" s="54" t="s">
        <v>8</v>
      </c>
      <c r="BS4" s="55" t="s">
        <v>9</v>
      </c>
      <c r="BT4" s="62"/>
      <c r="BU4" s="62"/>
      <c r="BV4" s="62"/>
      <c r="BW4" s="62"/>
      <c r="BX4" s="62"/>
      <c r="BY4" s="62"/>
      <c r="BZ4" s="52" t="s">
        <v>19</v>
      </c>
      <c r="CA4" s="52" t="s">
        <v>1</v>
      </c>
      <c r="CB4" s="52" t="s">
        <v>2</v>
      </c>
      <c r="CC4" s="52" t="s">
        <v>3</v>
      </c>
      <c r="CD4" s="52" t="s">
        <v>4</v>
      </c>
      <c r="CE4" s="52" t="s">
        <v>5</v>
      </c>
      <c r="CF4" s="52" t="s">
        <v>6</v>
      </c>
      <c r="CG4" s="52" t="s">
        <v>7</v>
      </c>
      <c r="CH4" s="52" t="s">
        <v>8</v>
      </c>
      <c r="CI4" s="53" t="s">
        <v>9</v>
      </c>
      <c r="CJ4" s="62"/>
      <c r="CK4" s="63"/>
      <c r="CL4" s="63"/>
      <c r="CM4" s="63"/>
      <c r="CN4" s="63"/>
      <c r="CO4" s="63"/>
      <c r="CP4" s="63"/>
      <c r="CQ4" s="63"/>
      <c r="CR4" s="63"/>
      <c r="CS4" s="63"/>
    </row>
    <row r="5" spans="2:97" ht="21" customHeight="1" x14ac:dyDescent="0.25">
      <c r="B5" s="47"/>
      <c r="C5" s="49"/>
      <c r="D5" s="49"/>
      <c r="E5" s="49"/>
      <c r="F5" s="49"/>
      <c r="G5" s="49"/>
      <c r="H5" s="49"/>
      <c r="I5" s="49"/>
      <c r="J5" s="49"/>
      <c r="K5" s="49"/>
      <c r="L5" s="62"/>
      <c r="M5" s="62"/>
      <c r="N5" s="62"/>
      <c r="O5" s="62"/>
      <c r="P5" s="47"/>
      <c r="Q5" s="49"/>
      <c r="R5" s="49"/>
      <c r="S5" s="49"/>
      <c r="T5" s="49"/>
      <c r="U5" s="49"/>
      <c r="V5" s="49"/>
      <c r="W5" s="49"/>
      <c r="X5" s="49"/>
      <c r="Y5" s="49"/>
      <c r="Z5" s="47"/>
      <c r="AA5" s="62"/>
      <c r="AB5" s="43"/>
      <c r="AC5" s="48"/>
      <c r="AD5" s="48"/>
      <c r="AE5" s="48"/>
      <c r="AF5" s="48"/>
      <c r="AG5" s="48"/>
      <c r="AH5" s="48"/>
      <c r="AI5" s="48"/>
      <c r="AJ5" s="48"/>
      <c r="AK5" s="48"/>
      <c r="AL5" s="46"/>
      <c r="AM5" s="43"/>
      <c r="AN5" s="48"/>
      <c r="AO5" s="48"/>
      <c r="AP5" s="48"/>
      <c r="AQ5" s="48"/>
      <c r="AR5" s="48"/>
      <c r="AS5" s="48"/>
      <c r="AT5" s="48"/>
      <c r="AU5" s="48"/>
      <c r="AV5" s="48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2"/>
      <c r="BU5" s="62"/>
      <c r="BV5" s="62"/>
      <c r="BW5" s="62"/>
      <c r="BX5" s="62"/>
      <c r="BY5" s="62"/>
      <c r="BZ5" s="47"/>
      <c r="CA5" s="49"/>
      <c r="CB5" s="49"/>
      <c r="CC5" s="49"/>
      <c r="CD5" s="49"/>
      <c r="CE5" s="49"/>
      <c r="CF5" s="49"/>
      <c r="CG5" s="49"/>
      <c r="CH5" s="49"/>
      <c r="CI5" s="49"/>
      <c r="CJ5" s="62"/>
      <c r="CK5" s="63"/>
      <c r="CL5" s="63"/>
      <c r="CM5" s="63"/>
      <c r="CN5" s="63"/>
      <c r="CO5" s="63"/>
      <c r="CP5" s="63"/>
      <c r="CQ5" s="63"/>
      <c r="CR5" s="63"/>
      <c r="CS5" s="63"/>
    </row>
    <row r="6" spans="2:97" ht="21" customHeight="1" x14ac:dyDescent="0.25">
      <c r="B6" s="56" t="s">
        <v>10</v>
      </c>
      <c r="C6" s="56" t="str">
        <f>VLOOKUP(CR6,$BZ$6:$CI$27,2)</f>
        <v>Celta De Vigo</v>
      </c>
      <c r="D6" s="56">
        <f t="shared" ref="D6:D27" si="0">VLOOKUP(CR6,$BZ$6:$CI$27,3)</f>
        <v>14</v>
      </c>
      <c r="E6" s="56">
        <f t="shared" ref="E6:E27" si="1">VLOOKUP(CR6,$BZ$6:$CI$27,4)</f>
        <v>11</v>
      </c>
      <c r="F6" s="56">
        <f>D6-E6-G6</f>
        <v>2</v>
      </c>
      <c r="G6" s="56">
        <f t="shared" ref="G6:G27" si="2">VLOOKUP(CR6,$BZ$6:$CI$27,6)</f>
        <v>1</v>
      </c>
      <c r="H6" s="56">
        <f t="shared" ref="H6:H27" si="3">VLOOKUP(CR6,$BZ$6:$CI$27,7)</f>
        <v>25</v>
      </c>
      <c r="I6" s="56">
        <f t="shared" ref="I6:I27" si="4">VLOOKUP(CR6,$BZ$6:$CI$27,8)</f>
        <v>4</v>
      </c>
      <c r="J6" s="56">
        <f>H6-I6</f>
        <v>21</v>
      </c>
      <c r="K6" s="56">
        <f>E6*3+F6</f>
        <v>35</v>
      </c>
      <c r="L6" s="62"/>
      <c r="M6" s="62"/>
      <c r="N6" s="62"/>
      <c r="O6" s="62"/>
      <c r="P6" s="51">
        <f>Classificação!Y9</f>
        <v>1</v>
      </c>
      <c r="Q6" s="51" t="str">
        <f>Classificação!P9</f>
        <v> Atalanta</v>
      </c>
      <c r="R6" s="51">
        <f>Classificação!Q9</f>
        <v>10</v>
      </c>
      <c r="S6" s="51">
        <f>Classificação!R9</f>
        <v>6</v>
      </c>
      <c r="T6" s="51">
        <f>Classificação!S9</f>
        <v>2</v>
      </c>
      <c r="U6" s="51">
        <f>Classificação!T9</f>
        <v>2</v>
      </c>
      <c r="V6" s="51">
        <f>Classificação!U9</f>
        <v>17</v>
      </c>
      <c r="W6" s="51">
        <f>Classificação!V9</f>
        <v>10</v>
      </c>
      <c r="X6" s="51">
        <f>Classificação!W9</f>
        <v>7</v>
      </c>
      <c r="Y6" s="51">
        <f>Classificação!X9</f>
        <v>20</v>
      </c>
      <c r="Z6" s="47">
        <v>321060261712</v>
      </c>
      <c r="AA6" s="47"/>
      <c r="AB6" s="57">
        <v>1</v>
      </c>
      <c r="AC6" s="58" t="str">
        <f t="shared" ref="AC6:AC27" si="5">IF(ISERROR(VLOOKUP(AB6,$AB$32:$AD$47,2,FALSE)),0,(VLOOKUP(AB6,$AB$32:$AD$47,2,FALSE)))</f>
        <v> Atalanta</v>
      </c>
      <c r="AD6" s="58">
        <f t="shared" ref="AD6:AD27" si="6">IF(ISERROR(VLOOKUP(AB6,$AB$32:$AD$47,3,FALSE)),0,(VLOOKUP(AB6,$AB$32:$AD$47,3,FALSE)))</f>
        <v>1</v>
      </c>
      <c r="AE6" s="58">
        <f t="shared" ref="AE6:AE27" si="7">IF(ISERROR(VLOOKUP(AB6,$AB$32:$AE$47,4,FALSE)),0,(VLOOKUP(AB6,$AB$32:$AE$47,4,FALSE)))</f>
        <v>1</v>
      </c>
      <c r="AF6" s="58">
        <f>AD6-AE6-AG6</f>
        <v>0</v>
      </c>
      <c r="AG6" s="58">
        <f t="shared" ref="AG6:AG27" si="8">IF(ISERROR(VLOOKUP(AB6,$AB$32:$AG$47,6,FALSE)),0,(VLOOKUP(AB6,$AB$32:$AG$47,6,FALSE)))</f>
        <v>0</v>
      </c>
      <c r="AH6" s="58">
        <f t="shared" ref="AH6:AH27" si="9">IF(ISERROR(VLOOKUP(AB6,$AB$32:$AH$47,7,FALSE)),0,(VLOOKUP(AB6,$AB$32:$AH$47,7,FALSE)))</f>
        <v>2</v>
      </c>
      <c r="AI6" s="58">
        <f t="shared" ref="AI6:AI27" si="10">IF(ISERROR(VLOOKUP(AB6,$AB$32:$AI$47,8,FALSE)),0,(VLOOKUP(AB6,$AB$32:$AI$47,8,FALSE)))</f>
        <v>1</v>
      </c>
      <c r="AJ6" s="58">
        <f>AH6-AI6</f>
        <v>1</v>
      </c>
      <c r="AK6" s="58">
        <f>AE6*3+AF6</f>
        <v>3</v>
      </c>
      <c r="AL6" s="58"/>
      <c r="AM6" s="57">
        <v>1</v>
      </c>
      <c r="AN6" s="58" t="str">
        <f t="shared" ref="AN6:AN27" si="11">IF(ISERROR(VLOOKUP(AM6,$AM$32:$AO$39,2,FALSE)),0,(VLOOKUP(AM6,$AM$32:$AO$39,2,FALSE)))</f>
        <v> Atalanta</v>
      </c>
      <c r="AO6" s="58">
        <f t="shared" ref="AO6:AO27" si="12">IF(ISERROR(VLOOKUP(AM6,$AM$32:$AO$39,3,FALSE)),0,(VLOOKUP(AM6,$AM$32:$AO$39,3,FALSE)))</f>
        <v>1</v>
      </c>
      <c r="AP6" s="58">
        <f t="shared" ref="AP6:AP27" si="13">IF(ISERROR(VLOOKUP(AM6,$AM$32:$AP$39,4,FALSE)),0,(VLOOKUP(AM6,$AM$32:$AP$39,4,FALSE)))</f>
        <v>0</v>
      </c>
      <c r="AQ6" s="58">
        <f>AO6-AP6-AR6</f>
        <v>1</v>
      </c>
      <c r="AR6" s="58">
        <f t="shared" ref="AR6:AR27" si="14">IF(ISERROR(VLOOKUP(AM6,$AM$32:$AR$39,6,FALSE)),0,(VLOOKUP(AM6,$AM$32:$AR$39,6,FALSE)))</f>
        <v>0</v>
      </c>
      <c r="AS6" s="58">
        <f t="shared" ref="AS6:AS27" si="15">IF(ISERROR(VLOOKUP(AM6,$AM$32:$AS$39,7,FALSE)),0,(VLOOKUP(AM6,$AM$32:$AS$39,7,FALSE)))</f>
        <v>1</v>
      </c>
      <c r="AT6" s="58">
        <f t="shared" ref="AT6:AT27" si="16">IF(ISERROR(VLOOKUP(AM6,$AM$32:$AT$39,8,FALSE)),0,(VLOOKUP(AM6,$AM$32:$AT$39,8,FALSE)))</f>
        <v>1</v>
      </c>
      <c r="AU6" s="58">
        <f>AS6-AT6</f>
        <v>0</v>
      </c>
      <c r="AV6" s="58">
        <f>AP6*3+AQ6</f>
        <v>1</v>
      </c>
      <c r="AW6" s="58"/>
      <c r="AX6" s="57">
        <v>1</v>
      </c>
      <c r="AY6" s="58">
        <f t="shared" ref="AY6:AY27" si="17">IF(ISERROR(VLOOKUP(AX6,$AX$31:$AZ$34,2,FALSE)),0,(VLOOKUP(AX6,$AX$31:$AZ$34,2,FALSE)))</f>
        <v>0</v>
      </c>
      <c r="AZ6" s="58">
        <f t="shared" ref="AZ6:AZ27" si="18">IF(ISERROR(VLOOKUP(AX6,$AX$31:$BA$34,3,FALSE)),0,(VLOOKUP(AX6,$AX$31:$BA$34,3,FALSE)))</f>
        <v>0</v>
      </c>
      <c r="BA6" s="58">
        <f t="shared" ref="BA6:BA27" si="19">IF(ISERROR(VLOOKUP(AX6,$AX$31:$BA$34,4,FALSE)),0,(VLOOKUP(AX6,$AX$31:$BA$34,4,FALSE)))</f>
        <v>0</v>
      </c>
      <c r="BB6" s="58">
        <f>AZ6-BA6-BC6</f>
        <v>0</v>
      </c>
      <c r="BC6" s="58">
        <f t="shared" ref="BC6:BC27" si="20">IF(ISERROR(VLOOKUP(AX6,$AX$31:$BC$34,6,FALSE)),0,(VLOOKUP(AX6,$AX$31:$BC$34,6,FALSE)))</f>
        <v>0</v>
      </c>
      <c r="BD6" s="58">
        <f t="shared" ref="BD6:BD27" si="21">IF(ISERROR(VLOOKUP(AX6,$AX$31:$BD$34,7,FALSE)),0,(VLOOKUP(AX6,$AX$31:$BD$34,7,FALSE)))</f>
        <v>0</v>
      </c>
      <c r="BE6" s="58">
        <f t="shared" ref="BE6:BE27" si="22">IF(ISERROR(VLOOKUP(AX6,$AX$31:$BE$34,8,FALSE)),0,(VLOOKUP(AX6,$AX$31:$BE$34,8,FALSE)))</f>
        <v>0</v>
      </c>
      <c r="BF6" s="58">
        <f>BD6-BE6</f>
        <v>0</v>
      </c>
      <c r="BG6" s="58">
        <f>BA6*3+BB6</f>
        <v>0</v>
      </c>
      <c r="BH6" s="47"/>
      <c r="BI6" s="47"/>
      <c r="BJ6" s="57">
        <v>1</v>
      </c>
      <c r="BK6" s="58">
        <f t="shared" ref="BK6:BK27" si="23">IF(ISERROR(VLOOKUP(BJ6,$BJ$31:$BL$34,2,FALSE)),0,(VLOOKUP(BJ6,$BJ$31:$BL$34,2,FALSE)))</f>
        <v>0</v>
      </c>
      <c r="BL6" s="58">
        <f t="shared" ref="BL6:BL27" si="24">IF(ISERROR(VLOOKUP(BJ6,$BJ$31:$BM$34,3,FALSE)),0,(VLOOKUP(BJ6,$BJ$31:$BM$34,3,FALSE)))</f>
        <v>0</v>
      </c>
      <c r="BM6" s="58">
        <f t="shared" ref="BM6:BM27" si="25">IF(ISERROR(VLOOKUP(BJ6,$BJ$31:$BM$34,4,FALSE)),0,(VLOOKUP(BJ6,$BJ$31:$BM$34,4,FALSE)))</f>
        <v>0</v>
      </c>
      <c r="BN6" s="58">
        <f>BL6-BM6-BO6</f>
        <v>0</v>
      </c>
      <c r="BO6" s="58">
        <f t="shared" ref="BO6:BO27" si="26">IF(ISERROR(VLOOKUP(BJ6,$BJ$31:$BO$34,6,FALSE)),0,(VLOOKUP(BJ6,$BJ$31:$BO$34,6,FALSE)))</f>
        <v>0</v>
      </c>
      <c r="BP6" s="58">
        <f t="shared" ref="BP6:BP27" si="27">IF(ISERROR(VLOOKUP(BJ6,$BJ$31:$BP$34,7,FALSE)),0,(VLOOKUP(BJ6,$BJ$31:$BP$34,7,FALSE)))</f>
        <v>0</v>
      </c>
      <c r="BQ6" s="58">
        <f t="shared" ref="BQ6:BQ27" si="28">IF(ISERROR(VLOOKUP(BJ6,$BJ$31:$BQ$34,8,FALSE)),0,(VLOOKUP(BJ6,$BJ$31:$BQ$34,8,FALSE)))</f>
        <v>0</v>
      </c>
      <c r="BR6" s="58">
        <f>BP6-BQ6</f>
        <v>0</v>
      </c>
      <c r="BS6" s="58">
        <f>BM6*3+BN6</f>
        <v>0</v>
      </c>
      <c r="BT6" s="47"/>
      <c r="BU6" s="47"/>
      <c r="BV6" s="47"/>
      <c r="BW6" s="47"/>
      <c r="BX6" s="47"/>
      <c r="BY6" s="62"/>
      <c r="BZ6" s="51">
        <v>1</v>
      </c>
      <c r="CA6" s="51" t="str">
        <f>Q6</f>
        <v> Atalanta</v>
      </c>
      <c r="CB6" s="51">
        <f>R6+AD6+AO6+AZ6+BL6</f>
        <v>12</v>
      </c>
      <c r="CC6" s="51">
        <f t="shared" ref="CC6:CC27" si="29">S6+AE6+AP6+BA6+BM6</f>
        <v>7</v>
      </c>
      <c r="CD6" s="51">
        <f t="shared" ref="CD6:CD27" si="30">T6+AF6+AQ6+BB6+BN6</f>
        <v>3</v>
      </c>
      <c r="CE6" s="51">
        <f t="shared" ref="CE6:CE27" si="31">U6+AG6+AR6+BC6+BO6</f>
        <v>2</v>
      </c>
      <c r="CF6" s="51">
        <f t="shared" ref="CF6:CF27" si="32">V6+AH6+AS6+BD6+BP6</f>
        <v>20</v>
      </c>
      <c r="CG6" s="51">
        <f t="shared" ref="CG6:CG27" si="33">W6+AI6+AT6+BE6+BQ6</f>
        <v>12</v>
      </c>
      <c r="CH6" s="51">
        <f t="shared" ref="CH6:CH27" si="34">X6+AJ6+AU6+BF6+BR6</f>
        <v>8</v>
      </c>
      <c r="CI6" s="51">
        <f t="shared" ref="CI6:CI27" si="35">Y6+AK6+AV6+BG6+BS6</f>
        <v>24</v>
      </c>
      <c r="CJ6" s="47"/>
      <c r="CK6" s="61"/>
      <c r="CL6" s="42">
        <f>(10^10)*CI6+(10^8)*CC6+(10^6)*(50+CH6)+(10^4)*CF6+(10^2)*CB6+(13-BZ6)</f>
        <v>240758201212</v>
      </c>
      <c r="CM6" s="43"/>
      <c r="CN6" s="63">
        <v>1</v>
      </c>
      <c r="CO6" s="42">
        <f t="shared" ref="CO6:CO26" si="36">LARGE(CL$6:CL$27,CN6)</f>
        <v>351171251394</v>
      </c>
      <c r="CP6" s="43"/>
      <c r="CQ6" s="63">
        <v>1</v>
      </c>
      <c r="CR6" s="42">
        <f t="shared" ref="CR6:CR23" si="37">MATCH(CO6,CL$6:CL$27,0)</f>
        <v>19</v>
      </c>
      <c r="CS6" s="63"/>
    </row>
    <row r="7" spans="2:97" ht="21" customHeight="1" x14ac:dyDescent="0.25">
      <c r="B7" s="71" t="s">
        <v>11</v>
      </c>
      <c r="C7" s="51" t="str">
        <f t="shared" ref="C7:C27" si="38">VLOOKUP(CR7,$BZ$6:$CI$27,2)</f>
        <v>Beşiktaş</v>
      </c>
      <c r="D7" s="71">
        <f t="shared" si="0"/>
        <v>14</v>
      </c>
      <c r="E7" s="71">
        <f t="shared" si="1"/>
        <v>9</v>
      </c>
      <c r="F7" s="71">
        <f t="shared" ref="F7:F23" si="39">D7-E7-G7</f>
        <v>3</v>
      </c>
      <c r="G7" s="71">
        <f t="shared" si="2"/>
        <v>2</v>
      </c>
      <c r="H7" s="71">
        <f t="shared" si="3"/>
        <v>27</v>
      </c>
      <c r="I7" s="71">
        <f t="shared" si="4"/>
        <v>9</v>
      </c>
      <c r="J7" s="71">
        <f t="shared" ref="J7:J23" si="40">H7-I7</f>
        <v>18</v>
      </c>
      <c r="K7" s="71">
        <f t="shared" ref="K7:K23" si="41">E7*3+F7</f>
        <v>30</v>
      </c>
      <c r="L7" s="62"/>
      <c r="M7" s="62"/>
      <c r="N7" s="62"/>
      <c r="O7" s="62"/>
      <c r="P7" s="51">
        <f>Classificação!Y10</f>
        <v>2</v>
      </c>
      <c r="Q7" s="51" t="str">
        <f>Classificação!P10</f>
        <v>Hoffenheim</v>
      </c>
      <c r="R7" s="51">
        <f>Classificação!Q10</f>
        <v>10</v>
      </c>
      <c r="S7" s="51">
        <f>Classificação!R10</f>
        <v>3</v>
      </c>
      <c r="T7" s="51">
        <f>Classificação!S10</f>
        <v>2</v>
      </c>
      <c r="U7" s="51">
        <f>Classificação!T10</f>
        <v>5</v>
      </c>
      <c r="V7" s="51">
        <f>Classificação!U10</f>
        <v>10</v>
      </c>
      <c r="W7" s="51">
        <f>Classificação!V10</f>
        <v>14</v>
      </c>
      <c r="X7" s="51">
        <f>Classificação!W10</f>
        <v>-4</v>
      </c>
      <c r="Y7" s="51">
        <f>Classificação!X10</f>
        <v>11</v>
      </c>
      <c r="Z7" s="47">
        <v>220548161711</v>
      </c>
      <c r="AA7" s="47"/>
      <c r="AB7" s="57">
        <v>2</v>
      </c>
      <c r="AC7" s="58" t="str">
        <f t="shared" si="5"/>
        <v>Hoffenheim</v>
      </c>
      <c r="AD7" s="58">
        <f t="shared" si="6"/>
        <v>1</v>
      </c>
      <c r="AE7" s="58">
        <f t="shared" si="7"/>
        <v>0</v>
      </c>
      <c r="AF7" s="58">
        <f t="shared" ref="AF7:AF23" si="42">AD7-AE7-AG7</f>
        <v>1</v>
      </c>
      <c r="AG7" s="58">
        <f t="shared" si="8"/>
        <v>0</v>
      </c>
      <c r="AH7" s="58">
        <f t="shared" si="9"/>
        <v>0</v>
      </c>
      <c r="AI7" s="58">
        <f t="shared" si="10"/>
        <v>5</v>
      </c>
      <c r="AJ7" s="58">
        <f t="shared" ref="AJ7:AJ23" si="43">AH7-AI7</f>
        <v>-5</v>
      </c>
      <c r="AK7" s="58">
        <f t="shared" ref="AK7:AK23" si="44">AE7*3+AF7</f>
        <v>1</v>
      </c>
      <c r="AL7" s="58"/>
      <c r="AM7" s="57">
        <v>2</v>
      </c>
      <c r="AN7" s="58">
        <f t="shared" si="11"/>
        <v>0</v>
      </c>
      <c r="AO7" s="58">
        <f t="shared" si="12"/>
        <v>0</v>
      </c>
      <c r="AP7" s="58">
        <f t="shared" si="13"/>
        <v>0</v>
      </c>
      <c r="AQ7" s="58">
        <f t="shared" ref="AQ7:AQ23" si="45">AO7-AP7-AR7</f>
        <v>0</v>
      </c>
      <c r="AR7" s="58">
        <f t="shared" si="14"/>
        <v>0</v>
      </c>
      <c r="AS7" s="58">
        <f t="shared" si="15"/>
        <v>0</v>
      </c>
      <c r="AT7" s="58">
        <f t="shared" si="16"/>
        <v>0</v>
      </c>
      <c r="AU7" s="58">
        <f t="shared" ref="AU7:AU23" si="46">AS7-AT7</f>
        <v>0</v>
      </c>
      <c r="AV7" s="58">
        <f t="shared" ref="AV7:AV23" si="47">AP7*3+AQ7</f>
        <v>0</v>
      </c>
      <c r="AW7" s="58"/>
      <c r="AX7" s="57">
        <v>2</v>
      </c>
      <c r="AY7" s="58">
        <f t="shared" si="17"/>
        <v>0</v>
      </c>
      <c r="AZ7" s="58">
        <f t="shared" si="18"/>
        <v>0</v>
      </c>
      <c r="BA7" s="58">
        <f t="shared" si="19"/>
        <v>0</v>
      </c>
      <c r="BB7" s="58">
        <f t="shared" ref="BB7:BB23" si="48">AZ7-BA7-BC7</f>
        <v>0</v>
      </c>
      <c r="BC7" s="58">
        <f t="shared" si="20"/>
        <v>0</v>
      </c>
      <c r="BD7" s="58">
        <f t="shared" si="21"/>
        <v>0</v>
      </c>
      <c r="BE7" s="58">
        <f t="shared" si="22"/>
        <v>0</v>
      </c>
      <c r="BF7" s="58">
        <f t="shared" ref="BF7:BF23" si="49">BD7-BE7</f>
        <v>0</v>
      </c>
      <c r="BG7" s="58">
        <f t="shared" ref="BG7:BG23" si="50">BA7*3+BB7</f>
        <v>0</v>
      </c>
      <c r="BH7" s="47"/>
      <c r="BI7" s="47"/>
      <c r="BJ7" s="57">
        <v>2</v>
      </c>
      <c r="BK7" s="58">
        <f t="shared" si="23"/>
        <v>0</v>
      </c>
      <c r="BL7" s="58">
        <f t="shared" si="24"/>
        <v>0</v>
      </c>
      <c r="BM7" s="58">
        <f t="shared" si="25"/>
        <v>0</v>
      </c>
      <c r="BN7" s="58">
        <f t="shared" ref="BN7:BN23" si="51">BL7-BM7-BO7</f>
        <v>0</v>
      </c>
      <c r="BO7" s="58">
        <f t="shared" si="26"/>
        <v>0</v>
      </c>
      <c r="BP7" s="58">
        <f t="shared" si="27"/>
        <v>0</v>
      </c>
      <c r="BQ7" s="58">
        <f t="shared" si="28"/>
        <v>0</v>
      </c>
      <c r="BR7" s="58">
        <f t="shared" ref="BR7:BR23" si="52">BP7-BQ7</f>
        <v>0</v>
      </c>
      <c r="BS7" s="58">
        <f t="shared" ref="BS7:BS23" si="53">BM7*3+BN7</f>
        <v>0</v>
      </c>
      <c r="BT7" s="47"/>
      <c r="BU7" s="47"/>
      <c r="BV7" s="47"/>
      <c r="BW7" s="47"/>
      <c r="BX7" s="47"/>
      <c r="BY7" s="62"/>
      <c r="BZ7" s="51">
        <v>2</v>
      </c>
      <c r="CA7" s="51" t="str">
        <f t="shared" ref="CA7:CA23" si="54">Q7</f>
        <v>Hoffenheim</v>
      </c>
      <c r="CB7" s="51">
        <f t="shared" ref="CB7:CB27" si="55">R7+AD7+AO7+AZ7+BL7</f>
        <v>11</v>
      </c>
      <c r="CC7" s="51">
        <f t="shared" si="29"/>
        <v>3</v>
      </c>
      <c r="CD7" s="51">
        <f t="shared" si="30"/>
        <v>3</v>
      </c>
      <c r="CE7" s="51">
        <f t="shared" si="31"/>
        <v>5</v>
      </c>
      <c r="CF7" s="51">
        <f t="shared" si="32"/>
        <v>10</v>
      </c>
      <c r="CG7" s="51">
        <f t="shared" si="33"/>
        <v>19</v>
      </c>
      <c r="CH7" s="51">
        <f t="shared" si="34"/>
        <v>-9</v>
      </c>
      <c r="CI7" s="51">
        <f t="shared" si="35"/>
        <v>12</v>
      </c>
      <c r="CJ7" s="47"/>
      <c r="CK7" s="61"/>
      <c r="CL7" s="42">
        <f t="shared" ref="CL7:CL23" si="56">(10^10)*CI7+(10^8)*CC7+(10^6)*(50+CH7)+(10^4)*CF7+(10^2)*CB7+(13-BZ7)</f>
        <v>120341101111</v>
      </c>
      <c r="CM7" s="43"/>
      <c r="CN7" s="63">
        <v>2</v>
      </c>
      <c r="CO7" s="42">
        <f t="shared" si="36"/>
        <v>300968271404</v>
      </c>
      <c r="CP7" s="43"/>
      <c r="CQ7" s="63">
        <v>2</v>
      </c>
      <c r="CR7" s="42">
        <f t="shared" si="37"/>
        <v>9</v>
      </c>
      <c r="CS7" s="63"/>
    </row>
    <row r="8" spans="2:97" ht="21" customHeight="1" x14ac:dyDescent="0.25">
      <c r="B8" s="56" t="s">
        <v>12</v>
      </c>
      <c r="C8" s="56" t="str">
        <f t="shared" si="38"/>
        <v>Sporting</v>
      </c>
      <c r="D8" s="56">
        <f t="shared" si="0"/>
        <v>14</v>
      </c>
      <c r="E8" s="56">
        <f t="shared" si="1"/>
        <v>8</v>
      </c>
      <c r="F8" s="56">
        <f t="shared" si="39"/>
        <v>5</v>
      </c>
      <c r="G8" s="56">
        <f t="shared" si="2"/>
        <v>1</v>
      </c>
      <c r="H8" s="56">
        <f t="shared" si="3"/>
        <v>26</v>
      </c>
      <c r="I8" s="56">
        <f t="shared" si="4"/>
        <v>11</v>
      </c>
      <c r="J8" s="56">
        <f t="shared" si="40"/>
        <v>15</v>
      </c>
      <c r="K8" s="56">
        <f t="shared" si="41"/>
        <v>29</v>
      </c>
      <c r="L8" s="62"/>
      <c r="M8" s="62"/>
      <c r="N8" s="62"/>
      <c r="O8" s="62"/>
      <c r="P8" s="51">
        <f>Classificação!Y11</f>
        <v>3</v>
      </c>
      <c r="Q8" s="51" t="str">
        <f>Classificação!P11</f>
        <v>Real Sociedad</v>
      </c>
      <c r="R8" s="51">
        <f>Classificação!Q11</f>
        <v>10</v>
      </c>
      <c r="S8" s="51">
        <f>Classificação!R11</f>
        <v>2</v>
      </c>
      <c r="T8" s="51">
        <f>Classificação!S11</f>
        <v>3</v>
      </c>
      <c r="U8" s="51">
        <f>Classificação!T11</f>
        <v>5</v>
      </c>
      <c r="V8" s="51">
        <f>Classificação!U11</f>
        <v>7</v>
      </c>
      <c r="W8" s="51">
        <f>Classificação!V11</f>
        <v>15</v>
      </c>
      <c r="X8" s="51">
        <f>Classificação!W11</f>
        <v>-8</v>
      </c>
      <c r="Y8" s="51">
        <f>Classificação!X11</f>
        <v>9</v>
      </c>
      <c r="Z8" s="47">
        <v>200545131710</v>
      </c>
      <c r="AA8" s="47"/>
      <c r="AB8" s="57">
        <v>3</v>
      </c>
      <c r="AC8" s="58" t="str">
        <f t="shared" si="5"/>
        <v>Real Sociedad</v>
      </c>
      <c r="AD8" s="58">
        <f t="shared" si="6"/>
        <v>1</v>
      </c>
      <c r="AE8" s="58">
        <f t="shared" si="7"/>
        <v>0</v>
      </c>
      <c r="AF8" s="58">
        <f t="shared" si="42"/>
        <v>0</v>
      </c>
      <c r="AG8" s="58">
        <f t="shared" si="8"/>
        <v>1</v>
      </c>
      <c r="AH8" s="58">
        <f t="shared" si="9"/>
        <v>1</v>
      </c>
      <c r="AI8" s="58">
        <f t="shared" si="10"/>
        <v>0</v>
      </c>
      <c r="AJ8" s="58">
        <f t="shared" si="43"/>
        <v>1</v>
      </c>
      <c r="AK8" s="58">
        <f t="shared" si="44"/>
        <v>0</v>
      </c>
      <c r="AL8" s="58"/>
      <c r="AM8" s="57">
        <v>3</v>
      </c>
      <c r="AN8" s="58">
        <f t="shared" si="11"/>
        <v>0</v>
      </c>
      <c r="AO8" s="58">
        <f t="shared" si="12"/>
        <v>0</v>
      </c>
      <c r="AP8" s="58">
        <f t="shared" si="13"/>
        <v>0</v>
      </c>
      <c r="AQ8" s="58">
        <f t="shared" si="45"/>
        <v>0</v>
      </c>
      <c r="AR8" s="58">
        <f t="shared" si="14"/>
        <v>0</v>
      </c>
      <c r="AS8" s="58">
        <f t="shared" si="15"/>
        <v>0</v>
      </c>
      <c r="AT8" s="58">
        <f t="shared" si="16"/>
        <v>0</v>
      </c>
      <c r="AU8" s="58">
        <f t="shared" si="46"/>
        <v>0</v>
      </c>
      <c r="AV8" s="58">
        <f t="shared" si="47"/>
        <v>0</v>
      </c>
      <c r="AW8" s="58"/>
      <c r="AX8" s="57">
        <v>3</v>
      </c>
      <c r="AY8" s="58">
        <f t="shared" si="17"/>
        <v>0</v>
      </c>
      <c r="AZ8" s="58">
        <f t="shared" si="18"/>
        <v>0</v>
      </c>
      <c r="BA8" s="58">
        <f t="shared" si="19"/>
        <v>0</v>
      </c>
      <c r="BB8" s="58">
        <f t="shared" si="48"/>
        <v>0</v>
      </c>
      <c r="BC8" s="58">
        <f t="shared" si="20"/>
        <v>0</v>
      </c>
      <c r="BD8" s="58">
        <f t="shared" si="21"/>
        <v>0</v>
      </c>
      <c r="BE8" s="58">
        <f t="shared" si="22"/>
        <v>0</v>
      </c>
      <c r="BF8" s="58">
        <f t="shared" si="49"/>
        <v>0</v>
      </c>
      <c r="BG8" s="58">
        <f t="shared" si="50"/>
        <v>0</v>
      </c>
      <c r="BH8" s="47"/>
      <c r="BI8" s="47"/>
      <c r="BJ8" s="57">
        <v>3</v>
      </c>
      <c r="BK8" s="58">
        <f t="shared" si="23"/>
        <v>0</v>
      </c>
      <c r="BL8" s="58">
        <f t="shared" si="24"/>
        <v>0</v>
      </c>
      <c r="BM8" s="58">
        <f t="shared" si="25"/>
        <v>0</v>
      </c>
      <c r="BN8" s="58">
        <f t="shared" si="51"/>
        <v>0</v>
      </c>
      <c r="BO8" s="58">
        <f t="shared" si="26"/>
        <v>0</v>
      </c>
      <c r="BP8" s="58">
        <f t="shared" si="27"/>
        <v>0</v>
      </c>
      <c r="BQ8" s="58">
        <f t="shared" si="28"/>
        <v>0</v>
      </c>
      <c r="BR8" s="58">
        <f t="shared" si="52"/>
        <v>0</v>
      </c>
      <c r="BS8" s="58">
        <f t="shared" si="53"/>
        <v>0</v>
      </c>
      <c r="BT8" s="47"/>
      <c r="BU8" s="47"/>
      <c r="BV8" s="47"/>
      <c r="BW8" s="47"/>
      <c r="BX8" s="47"/>
      <c r="BY8" s="62"/>
      <c r="BZ8" s="51">
        <v>3</v>
      </c>
      <c r="CA8" s="51" t="str">
        <f t="shared" si="54"/>
        <v>Real Sociedad</v>
      </c>
      <c r="CB8" s="51">
        <f t="shared" si="55"/>
        <v>11</v>
      </c>
      <c r="CC8" s="51">
        <f t="shared" si="29"/>
        <v>2</v>
      </c>
      <c r="CD8" s="51">
        <f t="shared" si="30"/>
        <v>3</v>
      </c>
      <c r="CE8" s="51">
        <f t="shared" si="31"/>
        <v>6</v>
      </c>
      <c r="CF8" s="51">
        <f t="shared" si="32"/>
        <v>8</v>
      </c>
      <c r="CG8" s="51">
        <f t="shared" si="33"/>
        <v>15</v>
      </c>
      <c r="CH8" s="51">
        <f t="shared" si="34"/>
        <v>-7</v>
      </c>
      <c r="CI8" s="51">
        <f t="shared" si="35"/>
        <v>9</v>
      </c>
      <c r="CJ8" s="47"/>
      <c r="CK8" s="61"/>
      <c r="CL8" s="42">
        <f t="shared" si="56"/>
        <v>90243081110</v>
      </c>
      <c r="CM8" s="43"/>
      <c r="CN8" s="63">
        <v>3</v>
      </c>
      <c r="CO8" s="42">
        <f t="shared" si="36"/>
        <v>290865261409</v>
      </c>
      <c r="CP8" s="43"/>
      <c r="CQ8" s="63">
        <v>3</v>
      </c>
      <c r="CR8" s="42">
        <f t="shared" si="37"/>
        <v>4</v>
      </c>
      <c r="CS8" s="63"/>
    </row>
    <row r="9" spans="2:97" ht="21" customHeight="1" x14ac:dyDescent="0.25">
      <c r="B9" s="71" t="s">
        <v>13</v>
      </c>
      <c r="C9" s="51" t="str">
        <f t="shared" si="38"/>
        <v> Atalanta</v>
      </c>
      <c r="D9" s="71">
        <f t="shared" si="0"/>
        <v>12</v>
      </c>
      <c r="E9" s="71">
        <f t="shared" si="1"/>
        <v>7</v>
      </c>
      <c r="F9" s="71">
        <f t="shared" si="39"/>
        <v>3</v>
      </c>
      <c r="G9" s="71">
        <f t="shared" si="2"/>
        <v>2</v>
      </c>
      <c r="H9" s="71">
        <f t="shared" si="3"/>
        <v>20</v>
      </c>
      <c r="I9" s="71">
        <f t="shared" si="4"/>
        <v>12</v>
      </c>
      <c r="J9" s="71">
        <f t="shared" si="40"/>
        <v>8</v>
      </c>
      <c r="K9" s="71">
        <f t="shared" si="41"/>
        <v>24</v>
      </c>
      <c r="L9" s="62"/>
      <c r="M9" s="62"/>
      <c r="N9" s="62"/>
      <c r="O9" s="62"/>
      <c r="P9" s="51">
        <f>Classificação!Y12</f>
        <v>4</v>
      </c>
      <c r="Q9" s="51" t="str">
        <f>Classificação!P12</f>
        <v>Sporting</v>
      </c>
      <c r="R9" s="51">
        <f>Classificação!Q12</f>
        <v>10</v>
      </c>
      <c r="S9" s="51">
        <f>Classificação!R12</f>
        <v>6</v>
      </c>
      <c r="T9" s="51">
        <f>Classificação!S12</f>
        <v>3</v>
      </c>
      <c r="U9" s="51">
        <f>Classificação!T12</f>
        <v>1</v>
      </c>
      <c r="V9" s="51">
        <f>Classificação!U12</f>
        <v>18</v>
      </c>
      <c r="W9" s="51">
        <f>Classificação!V12</f>
        <v>9</v>
      </c>
      <c r="X9" s="51">
        <f>Classificação!W12</f>
        <v>9</v>
      </c>
      <c r="Y9" s="51">
        <f>Classificação!X12</f>
        <v>21</v>
      </c>
      <c r="Z9" s="47">
        <v>16001709</v>
      </c>
      <c r="AA9" s="47"/>
      <c r="AB9" s="57">
        <v>4</v>
      </c>
      <c r="AC9" s="58" t="str">
        <f t="shared" si="5"/>
        <v>Sporting</v>
      </c>
      <c r="AD9" s="58">
        <f t="shared" si="6"/>
        <v>1</v>
      </c>
      <c r="AE9" s="58">
        <f t="shared" si="7"/>
        <v>1</v>
      </c>
      <c r="AF9" s="58">
        <f t="shared" si="42"/>
        <v>0</v>
      </c>
      <c r="AG9" s="58">
        <f t="shared" si="8"/>
        <v>0</v>
      </c>
      <c r="AH9" s="58">
        <f t="shared" si="9"/>
        <v>5</v>
      </c>
      <c r="AI9" s="58">
        <f t="shared" si="10"/>
        <v>0</v>
      </c>
      <c r="AJ9" s="58">
        <f t="shared" si="43"/>
        <v>5</v>
      </c>
      <c r="AK9" s="58">
        <f t="shared" si="44"/>
        <v>3</v>
      </c>
      <c r="AL9" s="58"/>
      <c r="AM9" s="57">
        <v>4</v>
      </c>
      <c r="AN9" s="58" t="str">
        <f t="shared" si="11"/>
        <v>Sporting</v>
      </c>
      <c r="AO9" s="58">
        <f t="shared" si="12"/>
        <v>1</v>
      </c>
      <c r="AP9" s="58">
        <f t="shared" si="13"/>
        <v>1</v>
      </c>
      <c r="AQ9" s="58">
        <f t="shared" si="45"/>
        <v>0</v>
      </c>
      <c r="AR9" s="58">
        <f t="shared" si="14"/>
        <v>0</v>
      </c>
      <c r="AS9" s="58">
        <f t="shared" si="15"/>
        <v>2</v>
      </c>
      <c r="AT9" s="58">
        <f t="shared" si="16"/>
        <v>1</v>
      </c>
      <c r="AU9" s="58">
        <f t="shared" si="46"/>
        <v>1</v>
      </c>
      <c r="AV9" s="58">
        <f t="shared" si="47"/>
        <v>3</v>
      </c>
      <c r="AW9" s="58"/>
      <c r="AX9" s="57">
        <v>4</v>
      </c>
      <c r="AY9" s="58" t="str">
        <f t="shared" si="17"/>
        <v>Sporting</v>
      </c>
      <c r="AZ9" s="58">
        <f t="shared" si="18"/>
        <v>1</v>
      </c>
      <c r="BA9" s="58">
        <f t="shared" si="19"/>
        <v>0</v>
      </c>
      <c r="BB9" s="58">
        <f t="shared" si="48"/>
        <v>1</v>
      </c>
      <c r="BC9" s="58">
        <f t="shared" si="20"/>
        <v>0</v>
      </c>
      <c r="BD9" s="58">
        <f t="shared" si="21"/>
        <v>1</v>
      </c>
      <c r="BE9" s="58">
        <f t="shared" si="22"/>
        <v>1</v>
      </c>
      <c r="BF9" s="58">
        <f t="shared" si="49"/>
        <v>0</v>
      </c>
      <c r="BG9" s="58">
        <f t="shared" si="50"/>
        <v>1</v>
      </c>
      <c r="BH9" s="47"/>
      <c r="BI9" s="47"/>
      <c r="BJ9" s="57">
        <v>4</v>
      </c>
      <c r="BK9" s="58" t="str">
        <f t="shared" si="23"/>
        <v>Sporting</v>
      </c>
      <c r="BL9" s="58">
        <f t="shared" si="24"/>
        <v>1</v>
      </c>
      <c r="BM9" s="58">
        <f t="shared" si="25"/>
        <v>0</v>
      </c>
      <c r="BN9" s="58">
        <f t="shared" si="51"/>
        <v>1</v>
      </c>
      <c r="BO9" s="58">
        <f t="shared" si="26"/>
        <v>0</v>
      </c>
      <c r="BP9" s="58">
        <f t="shared" si="27"/>
        <v>0</v>
      </c>
      <c r="BQ9" s="58">
        <f t="shared" si="28"/>
        <v>0</v>
      </c>
      <c r="BR9" s="58">
        <f t="shared" si="52"/>
        <v>0</v>
      </c>
      <c r="BS9" s="58">
        <f t="shared" si="53"/>
        <v>1</v>
      </c>
      <c r="BT9" s="47"/>
      <c r="BU9" s="47"/>
      <c r="BV9" s="47"/>
      <c r="BW9" s="47"/>
      <c r="BX9" s="47"/>
      <c r="BY9" s="62"/>
      <c r="BZ9" s="51">
        <v>4</v>
      </c>
      <c r="CA9" s="51" t="str">
        <f t="shared" si="54"/>
        <v>Sporting</v>
      </c>
      <c r="CB9" s="51">
        <f t="shared" si="55"/>
        <v>14</v>
      </c>
      <c r="CC9" s="51">
        <f t="shared" si="29"/>
        <v>8</v>
      </c>
      <c r="CD9" s="51">
        <f t="shared" si="30"/>
        <v>5</v>
      </c>
      <c r="CE9" s="51">
        <f t="shared" si="31"/>
        <v>1</v>
      </c>
      <c r="CF9" s="51">
        <f t="shared" si="32"/>
        <v>26</v>
      </c>
      <c r="CG9" s="51">
        <f t="shared" si="33"/>
        <v>11</v>
      </c>
      <c r="CH9" s="51">
        <f t="shared" si="34"/>
        <v>15</v>
      </c>
      <c r="CI9" s="51">
        <f t="shared" si="35"/>
        <v>29</v>
      </c>
      <c r="CJ9" s="47"/>
      <c r="CK9" s="61"/>
      <c r="CL9" s="42">
        <f t="shared" si="56"/>
        <v>290865261409</v>
      </c>
      <c r="CM9" s="43"/>
      <c r="CN9" s="63">
        <v>4</v>
      </c>
      <c r="CO9" s="42">
        <f t="shared" si="36"/>
        <v>240758201212</v>
      </c>
      <c r="CP9" s="43"/>
      <c r="CQ9" s="65">
        <v>4</v>
      </c>
      <c r="CR9" s="42">
        <f t="shared" si="37"/>
        <v>1</v>
      </c>
      <c r="CS9" s="63"/>
    </row>
    <row r="10" spans="2:97" ht="21" customHeight="1" x14ac:dyDescent="0.25">
      <c r="B10" s="56" t="s">
        <v>14</v>
      </c>
      <c r="C10" s="56" t="str">
        <f t="shared" si="38"/>
        <v>Torino</v>
      </c>
      <c r="D10" s="56">
        <f t="shared" si="0"/>
        <v>14</v>
      </c>
      <c r="E10" s="56">
        <f t="shared" si="1"/>
        <v>6</v>
      </c>
      <c r="F10" s="56">
        <f t="shared" si="39"/>
        <v>3</v>
      </c>
      <c r="G10" s="56">
        <f t="shared" si="2"/>
        <v>5</v>
      </c>
      <c r="H10" s="56">
        <f t="shared" si="3"/>
        <v>19</v>
      </c>
      <c r="I10" s="56">
        <f t="shared" si="4"/>
        <v>15</v>
      </c>
      <c r="J10" s="56">
        <f t="shared" si="40"/>
        <v>4</v>
      </c>
      <c r="K10" s="56">
        <f t="shared" si="41"/>
        <v>21</v>
      </c>
      <c r="L10" s="62"/>
      <c r="M10" s="62"/>
      <c r="N10" s="62"/>
      <c r="O10" s="62"/>
      <c r="P10" s="51">
        <f>Classificação!Y13</f>
        <v>5</v>
      </c>
      <c r="Q10" s="51" t="str">
        <f>Classificação!P13</f>
        <v>Schalke 04</v>
      </c>
      <c r="R10" s="51">
        <f>Classificação!Q13</f>
        <v>10</v>
      </c>
      <c r="S10" s="51">
        <f>Classificação!R13</f>
        <v>5</v>
      </c>
      <c r="T10" s="51">
        <f>Classificação!S13</f>
        <v>2</v>
      </c>
      <c r="U10" s="51">
        <f>Classificação!T13</f>
        <v>3</v>
      </c>
      <c r="V10" s="51">
        <f>Classificação!U13</f>
        <v>13</v>
      </c>
      <c r="W10" s="51">
        <f>Classificação!V13</f>
        <v>7</v>
      </c>
      <c r="X10" s="51">
        <f>Classificação!W13</f>
        <v>6</v>
      </c>
      <c r="Y10" s="51">
        <f>Classificação!X13</f>
        <v>17</v>
      </c>
      <c r="Z10" s="47">
        <v>70126051708</v>
      </c>
      <c r="AA10" s="47"/>
      <c r="AB10" s="57">
        <v>5</v>
      </c>
      <c r="AC10" s="58" t="str">
        <f t="shared" si="5"/>
        <v>Schalke 04</v>
      </c>
      <c r="AD10" s="58">
        <f t="shared" si="6"/>
        <v>1</v>
      </c>
      <c r="AE10" s="58">
        <f t="shared" si="7"/>
        <v>0</v>
      </c>
      <c r="AF10" s="58">
        <f t="shared" si="42"/>
        <v>1</v>
      </c>
      <c r="AG10" s="58">
        <f t="shared" si="8"/>
        <v>0</v>
      </c>
      <c r="AH10" s="58">
        <f t="shared" si="9"/>
        <v>0</v>
      </c>
      <c r="AI10" s="58">
        <f t="shared" si="10"/>
        <v>0</v>
      </c>
      <c r="AJ10" s="58">
        <f t="shared" si="43"/>
        <v>0</v>
      </c>
      <c r="AK10" s="58">
        <f t="shared" si="44"/>
        <v>1</v>
      </c>
      <c r="AL10" s="58"/>
      <c r="AM10" s="57">
        <v>5</v>
      </c>
      <c r="AN10" s="58" t="str">
        <f t="shared" si="11"/>
        <v>Schalke 04</v>
      </c>
      <c r="AO10" s="58">
        <f t="shared" si="12"/>
        <v>1</v>
      </c>
      <c r="AP10" s="58">
        <f t="shared" si="13"/>
        <v>0</v>
      </c>
      <c r="AQ10" s="58">
        <f t="shared" si="45"/>
        <v>0</v>
      </c>
      <c r="AR10" s="58">
        <f t="shared" si="14"/>
        <v>1</v>
      </c>
      <c r="AS10" s="58">
        <f t="shared" si="15"/>
        <v>1</v>
      </c>
      <c r="AT10" s="58">
        <f t="shared" si="16"/>
        <v>2</v>
      </c>
      <c r="AU10" s="58">
        <f t="shared" si="46"/>
        <v>-1</v>
      </c>
      <c r="AV10" s="58">
        <f t="shared" si="47"/>
        <v>0</v>
      </c>
      <c r="AW10" s="58"/>
      <c r="AX10" s="57">
        <v>5</v>
      </c>
      <c r="AY10" s="58">
        <f t="shared" si="17"/>
        <v>0</v>
      </c>
      <c r="AZ10" s="58">
        <f t="shared" si="18"/>
        <v>0</v>
      </c>
      <c r="BA10" s="58">
        <f t="shared" si="19"/>
        <v>0</v>
      </c>
      <c r="BB10" s="58">
        <f t="shared" si="48"/>
        <v>0</v>
      </c>
      <c r="BC10" s="58">
        <f t="shared" si="20"/>
        <v>0</v>
      </c>
      <c r="BD10" s="58">
        <f t="shared" si="21"/>
        <v>0</v>
      </c>
      <c r="BE10" s="58">
        <f t="shared" si="22"/>
        <v>0</v>
      </c>
      <c r="BF10" s="58">
        <f t="shared" si="49"/>
        <v>0</v>
      </c>
      <c r="BG10" s="58">
        <f t="shared" si="50"/>
        <v>0</v>
      </c>
      <c r="BH10" s="47"/>
      <c r="BI10" s="47"/>
      <c r="BJ10" s="57">
        <v>5</v>
      </c>
      <c r="BK10" s="58">
        <f t="shared" si="23"/>
        <v>0</v>
      </c>
      <c r="BL10" s="58">
        <f t="shared" si="24"/>
        <v>0</v>
      </c>
      <c r="BM10" s="58">
        <f t="shared" si="25"/>
        <v>0</v>
      </c>
      <c r="BN10" s="58">
        <f t="shared" si="51"/>
        <v>0</v>
      </c>
      <c r="BO10" s="58">
        <f t="shared" si="26"/>
        <v>0</v>
      </c>
      <c r="BP10" s="58">
        <f t="shared" si="27"/>
        <v>0</v>
      </c>
      <c r="BQ10" s="58">
        <f t="shared" si="28"/>
        <v>0</v>
      </c>
      <c r="BR10" s="58">
        <f t="shared" si="52"/>
        <v>0</v>
      </c>
      <c r="BS10" s="58">
        <f t="shared" si="53"/>
        <v>0</v>
      </c>
      <c r="BT10" s="47"/>
      <c r="BU10" s="47"/>
      <c r="BV10" s="47"/>
      <c r="BW10" s="47"/>
      <c r="BX10" s="47"/>
      <c r="BY10" s="62"/>
      <c r="BZ10" s="51">
        <v>5</v>
      </c>
      <c r="CA10" s="51" t="str">
        <f t="shared" si="54"/>
        <v>Schalke 04</v>
      </c>
      <c r="CB10" s="51">
        <f t="shared" si="55"/>
        <v>12</v>
      </c>
      <c r="CC10" s="51">
        <f t="shared" si="29"/>
        <v>5</v>
      </c>
      <c r="CD10" s="51">
        <f t="shared" si="30"/>
        <v>3</v>
      </c>
      <c r="CE10" s="51">
        <f t="shared" si="31"/>
        <v>4</v>
      </c>
      <c r="CF10" s="51">
        <f t="shared" si="32"/>
        <v>14</v>
      </c>
      <c r="CG10" s="51">
        <f t="shared" si="33"/>
        <v>9</v>
      </c>
      <c r="CH10" s="51">
        <f t="shared" si="34"/>
        <v>5</v>
      </c>
      <c r="CI10" s="51">
        <f t="shared" si="35"/>
        <v>18</v>
      </c>
      <c r="CJ10" s="47"/>
      <c r="CK10" s="61"/>
      <c r="CL10" s="42">
        <f t="shared" si="56"/>
        <v>180555141208</v>
      </c>
      <c r="CM10" s="43"/>
      <c r="CN10" s="63">
        <v>5</v>
      </c>
      <c r="CO10" s="42">
        <f t="shared" si="36"/>
        <v>210654191392</v>
      </c>
      <c r="CP10" s="43"/>
      <c r="CQ10" s="65">
        <v>5</v>
      </c>
      <c r="CR10" s="42">
        <f t="shared" si="37"/>
        <v>21</v>
      </c>
      <c r="CS10" s="63"/>
    </row>
    <row r="11" spans="2:97" ht="21" customHeight="1" x14ac:dyDescent="0.25">
      <c r="B11" s="71" t="s">
        <v>15</v>
      </c>
      <c r="C11" s="51" t="str">
        <f t="shared" si="38"/>
        <v>P S V</v>
      </c>
      <c r="D11" s="71">
        <f t="shared" si="0"/>
        <v>12</v>
      </c>
      <c r="E11" s="71">
        <f t="shared" si="1"/>
        <v>6</v>
      </c>
      <c r="F11" s="71">
        <f t="shared" si="39"/>
        <v>2</v>
      </c>
      <c r="G11" s="71">
        <f t="shared" si="2"/>
        <v>4</v>
      </c>
      <c r="H11" s="71">
        <f t="shared" si="3"/>
        <v>13</v>
      </c>
      <c r="I11" s="71">
        <f t="shared" si="4"/>
        <v>12</v>
      </c>
      <c r="J11" s="71">
        <f t="shared" si="40"/>
        <v>1</v>
      </c>
      <c r="K11" s="71">
        <f t="shared" si="41"/>
        <v>20</v>
      </c>
      <c r="L11" s="62"/>
      <c r="M11" s="62"/>
      <c r="N11" s="62"/>
      <c r="O11" s="62"/>
      <c r="P11" s="51">
        <f>Classificação!Y14</f>
        <v>6</v>
      </c>
      <c r="Q11" s="51" t="str">
        <f>Classificação!P14</f>
        <v>Galatasaray</v>
      </c>
      <c r="R11" s="51">
        <f>Classificação!Q14</f>
        <v>0</v>
      </c>
      <c r="S11" s="51">
        <f>Classificação!R14</f>
        <v>0</v>
      </c>
      <c r="T11" s="51">
        <f>Classificação!S14</f>
        <v>0</v>
      </c>
      <c r="U11" s="51">
        <f>Classificação!T14</f>
        <v>0</v>
      </c>
      <c r="V11" s="51">
        <f>Classificação!U14</f>
        <v>0</v>
      </c>
      <c r="W11" s="51">
        <f>Classificação!V14</f>
        <v>0</v>
      </c>
      <c r="X11" s="51">
        <f>Classificação!W14</f>
        <v>0</v>
      </c>
      <c r="Y11" s="51">
        <f>Classificação!X14</f>
        <v>0</v>
      </c>
      <c r="Z11" s="47">
        <v>210452111707</v>
      </c>
      <c r="AA11" s="47"/>
      <c r="AB11" s="57">
        <v>6</v>
      </c>
      <c r="AC11" s="58">
        <f t="shared" si="5"/>
        <v>0</v>
      </c>
      <c r="AD11" s="58">
        <f t="shared" si="6"/>
        <v>0</v>
      </c>
      <c r="AE11" s="58">
        <f t="shared" si="7"/>
        <v>0</v>
      </c>
      <c r="AF11" s="58">
        <f t="shared" si="42"/>
        <v>0</v>
      </c>
      <c r="AG11" s="58">
        <f t="shared" si="8"/>
        <v>0</v>
      </c>
      <c r="AH11" s="58">
        <f t="shared" si="9"/>
        <v>0</v>
      </c>
      <c r="AI11" s="58">
        <f t="shared" si="10"/>
        <v>0</v>
      </c>
      <c r="AJ11" s="58">
        <f t="shared" si="43"/>
        <v>0</v>
      </c>
      <c r="AK11" s="58">
        <f t="shared" si="44"/>
        <v>0</v>
      </c>
      <c r="AL11" s="58"/>
      <c r="AM11" s="57">
        <v>6</v>
      </c>
      <c r="AN11" s="58">
        <f t="shared" si="11"/>
        <v>0</v>
      </c>
      <c r="AO11" s="58">
        <f t="shared" si="12"/>
        <v>0</v>
      </c>
      <c r="AP11" s="58">
        <f t="shared" si="13"/>
        <v>0</v>
      </c>
      <c r="AQ11" s="58">
        <f t="shared" si="45"/>
        <v>0</v>
      </c>
      <c r="AR11" s="58">
        <f t="shared" si="14"/>
        <v>0</v>
      </c>
      <c r="AS11" s="58">
        <f t="shared" si="15"/>
        <v>0</v>
      </c>
      <c r="AT11" s="58">
        <f t="shared" si="16"/>
        <v>0</v>
      </c>
      <c r="AU11" s="58">
        <f t="shared" si="46"/>
        <v>0</v>
      </c>
      <c r="AV11" s="58">
        <f t="shared" si="47"/>
        <v>0</v>
      </c>
      <c r="AW11" s="58"/>
      <c r="AX11" s="57">
        <v>6</v>
      </c>
      <c r="AY11" s="58">
        <f t="shared" si="17"/>
        <v>0</v>
      </c>
      <c r="AZ11" s="58">
        <f t="shared" si="18"/>
        <v>0</v>
      </c>
      <c r="BA11" s="58">
        <f t="shared" si="19"/>
        <v>0</v>
      </c>
      <c r="BB11" s="58">
        <f t="shared" si="48"/>
        <v>0</v>
      </c>
      <c r="BC11" s="58">
        <f t="shared" si="20"/>
        <v>0</v>
      </c>
      <c r="BD11" s="58">
        <f t="shared" si="21"/>
        <v>0</v>
      </c>
      <c r="BE11" s="58">
        <f t="shared" si="22"/>
        <v>0</v>
      </c>
      <c r="BF11" s="58">
        <f t="shared" si="49"/>
        <v>0</v>
      </c>
      <c r="BG11" s="58">
        <f t="shared" si="50"/>
        <v>0</v>
      </c>
      <c r="BH11" s="47"/>
      <c r="BI11" s="47"/>
      <c r="BJ11" s="57">
        <v>6</v>
      </c>
      <c r="BK11" s="58">
        <f t="shared" si="23"/>
        <v>0</v>
      </c>
      <c r="BL11" s="58">
        <f t="shared" si="24"/>
        <v>0</v>
      </c>
      <c r="BM11" s="58">
        <f t="shared" si="25"/>
        <v>0</v>
      </c>
      <c r="BN11" s="58">
        <f t="shared" si="51"/>
        <v>0</v>
      </c>
      <c r="BO11" s="58">
        <f t="shared" si="26"/>
        <v>0</v>
      </c>
      <c r="BP11" s="58">
        <f t="shared" si="27"/>
        <v>0</v>
      </c>
      <c r="BQ11" s="58">
        <f t="shared" si="28"/>
        <v>0</v>
      </c>
      <c r="BR11" s="58">
        <f t="shared" si="52"/>
        <v>0</v>
      </c>
      <c r="BS11" s="58">
        <f t="shared" si="53"/>
        <v>0</v>
      </c>
      <c r="BT11" s="47"/>
      <c r="BU11" s="47"/>
      <c r="BV11" s="47"/>
      <c r="BW11" s="47"/>
      <c r="BX11" s="47"/>
      <c r="BY11" s="62"/>
      <c r="BZ11" s="51">
        <v>6</v>
      </c>
      <c r="CA11" s="51" t="str">
        <f t="shared" si="54"/>
        <v>Galatasaray</v>
      </c>
      <c r="CB11" s="51">
        <f t="shared" si="55"/>
        <v>0</v>
      </c>
      <c r="CC11" s="51">
        <f t="shared" si="29"/>
        <v>0</v>
      </c>
      <c r="CD11" s="51">
        <f t="shared" si="30"/>
        <v>0</v>
      </c>
      <c r="CE11" s="51">
        <f t="shared" si="31"/>
        <v>0</v>
      </c>
      <c r="CF11" s="51">
        <f t="shared" si="32"/>
        <v>0</v>
      </c>
      <c r="CG11" s="51">
        <f t="shared" si="33"/>
        <v>0</v>
      </c>
      <c r="CH11" s="51">
        <f t="shared" si="34"/>
        <v>0</v>
      </c>
      <c r="CI11" s="51">
        <f t="shared" si="35"/>
        <v>0</v>
      </c>
      <c r="CJ11" s="47"/>
      <c r="CK11" s="61"/>
      <c r="CL11" s="42">
        <f t="shared" si="56"/>
        <v>50000007</v>
      </c>
      <c r="CM11" s="43"/>
      <c r="CN11" s="63">
        <v>6</v>
      </c>
      <c r="CO11" s="42">
        <f t="shared" si="36"/>
        <v>200651131200</v>
      </c>
      <c r="CP11" s="43"/>
      <c r="CQ11" s="65">
        <v>6</v>
      </c>
      <c r="CR11" s="42">
        <f t="shared" si="37"/>
        <v>13</v>
      </c>
      <c r="CS11" s="63"/>
    </row>
    <row r="12" spans="2:97" ht="21" customHeight="1" x14ac:dyDescent="0.25">
      <c r="B12" s="56" t="s">
        <v>16</v>
      </c>
      <c r="C12" s="56" t="str">
        <f t="shared" si="38"/>
        <v>Crystal Palace</v>
      </c>
      <c r="D12" s="56">
        <f t="shared" si="0"/>
        <v>11</v>
      </c>
      <c r="E12" s="56">
        <f t="shared" si="1"/>
        <v>5</v>
      </c>
      <c r="F12" s="56">
        <f t="shared" si="39"/>
        <v>4</v>
      </c>
      <c r="G12" s="56">
        <f t="shared" si="2"/>
        <v>2</v>
      </c>
      <c r="H12" s="56">
        <f t="shared" si="3"/>
        <v>7</v>
      </c>
      <c r="I12" s="56">
        <f t="shared" si="4"/>
        <v>5</v>
      </c>
      <c r="J12" s="56">
        <f t="shared" si="40"/>
        <v>2</v>
      </c>
      <c r="K12" s="56">
        <f t="shared" si="41"/>
        <v>19</v>
      </c>
      <c r="L12" s="62"/>
      <c r="M12" s="62"/>
      <c r="N12" s="62"/>
      <c r="O12" s="62"/>
      <c r="P12" s="51">
        <f>Classificação!Y15</f>
        <v>7</v>
      </c>
      <c r="Q12" s="51" t="str">
        <f>Classificação!P15</f>
        <v>Athl. De Bilbao</v>
      </c>
      <c r="R12" s="51">
        <f>Classificação!Q15</f>
        <v>10</v>
      </c>
      <c r="S12" s="51">
        <f>Classificação!R15</f>
        <v>1</v>
      </c>
      <c r="T12" s="51">
        <f>Classificação!S15</f>
        <v>4</v>
      </c>
      <c r="U12" s="51">
        <f>Classificação!T15</f>
        <v>5</v>
      </c>
      <c r="V12" s="51">
        <f>Classificação!U15</f>
        <v>8</v>
      </c>
      <c r="W12" s="51">
        <f>Classificação!V15</f>
        <v>14</v>
      </c>
      <c r="X12" s="51">
        <f>Classificação!W15</f>
        <v>-6</v>
      </c>
      <c r="Y12" s="51">
        <f>Classificação!X15</f>
        <v>7</v>
      </c>
      <c r="Z12" s="47">
        <v>320957171706</v>
      </c>
      <c r="AA12" s="47"/>
      <c r="AB12" s="57">
        <v>7</v>
      </c>
      <c r="AC12" s="58">
        <f t="shared" si="5"/>
        <v>0</v>
      </c>
      <c r="AD12" s="58">
        <f t="shared" si="6"/>
        <v>0</v>
      </c>
      <c r="AE12" s="58">
        <f t="shared" si="7"/>
        <v>0</v>
      </c>
      <c r="AF12" s="58">
        <f t="shared" si="42"/>
        <v>0</v>
      </c>
      <c r="AG12" s="58">
        <f t="shared" si="8"/>
        <v>0</v>
      </c>
      <c r="AH12" s="58">
        <f t="shared" si="9"/>
        <v>0</v>
      </c>
      <c r="AI12" s="58">
        <f t="shared" si="10"/>
        <v>0</v>
      </c>
      <c r="AJ12" s="58">
        <f t="shared" si="43"/>
        <v>0</v>
      </c>
      <c r="AK12" s="58">
        <f t="shared" si="44"/>
        <v>0</v>
      </c>
      <c r="AL12" s="58"/>
      <c r="AM12" s="57">
        <v>7</v>
      </c>
      <c r="AN12" s="58">
        <f t="shared" si="11"/>
        <v>0</v>
      </c>
      <c r="AO12" s="58">
        <f t="shared" si="12"/>
        <v>0</v>
      </c>
      <c r="AP12" s="58">
        <f t="shared" si="13"/>
        <v>0</v>
      </c>
      <c r="AQ12" s="58">
        <f t="shared" si="45"/>
        <v>0</v>
      </c>
      <c r="AR12" s="58">
        <f t="shared" si="14"/>
        <v>0</v>
      </c>
      <c r="AS12" s="58">
        <f t="shared" si="15"/>
        <v>0</v>
      </c>
      <c r="AT12" s="58">
        <f t="shared" si="16"/>
        <v>0</v>
      </c>
      <c r="AU12" s="58">
        <f t="shared" si="46"/>
        <v>0</v>
      </c>
      <c r="AV12" s="58">
        <f t="shared" si="47"/>
        <v>0</v>
      </c>
      <c r="AW12" s="58"/>
      <c r="AX12" s="57">
        <v>7</v>
      </c>
      <c r="AY12" s="58">
        <f t="shared" si="17"/>
        <v>0</v>
      </c>
      <c r="AZ12" s="58">
        <f t="shared" si="18"/>
        <v>0</v>
      </c>
      <c r="BA12" s="58">
        <f t="shared" si="19"/>
        <v>0</v>
      </c>
      <c r="BB12" s="58">
        <f t="shared" si="48"/>
        <v>0</v>
      </c>
      <c r="BC12" s="58">
        <f t="shared" si="20"/>
        <v>0</v>
      </c>
      <c r="BD12" s="58">
        <f t="shared" si="21"/>
        <v>0</v>
      </c>
      <c r="BE12" s="58">
        <f t="shared" si="22"/>
        <v>0</v>
      </c>
      <c r="BF12" s="58">
        <f t="shared" si="49"/>
        <v>0</v>
      </c>
      <c r="BG12" s="58">
        <f t="shared" si="50"/>
        <v>0</v>
      </c>
      <c r="BH12" s="47"/>
      <c r="BI12" s="47"/>
      <c r="BJ12" s="57">
        <v>7</v>
      </c>
      <c r="BK12" s="58">
        <f t="shared" si="23"/>
        <v>0</v>
      </c>
      <c r="BL12" s="58">
        <f t="shared" si="24"/>
        <v>0</v>
      </c>
      <c r="BM12" s="58">
        <f t="shared" si="25"/>
        <v>0</v>
      </c>
      <c r="BN12" s="58">
        <f t="shared" si="51"/>
        <v>0</v>
      </c>
      <c r="BO12" s="58">
        <f t="shared" si="26"/>
        <v>0</v>
      </c>
      <c r="BP12" s="58">
        <f t="shared" si="27"/>
        <v>0</v>
      </c>
      <c r="BQ12" s="58">
        <f t="shared" si="28"/>
        <v>0</v>
      </c>
      <c r="BR12" s="58">
        <f t="shared" si="52"/>
        <v>0</v>
      </c>
      <c r="BS12" s="58">
        <f t="shared" si="53"/>
        <v>0</v>
      </c>
      <c r="BT12" s="47"/>
      <c r="BU12" s="47"/>
      <c r="BV12" s="47"/>
      <c r="BW12" s="47"/>
      <c r="BX12" s="47"/>
      <c r="BY12" s="62"/>
      <c r="BZ12" s="51">
        <v>7</v>
      </c>
      <c r="CA12" s="51" t="str">
        <f t="shared" si="54"/>
        <v>Athl. De Bilbao</v>
      </c>
      <c r="CB12" s="51">
        <f t="shared" si="55"/>
        <v>10</v>
      </c>
      <c r="CC12" s="51">
        <f t="shared" si="29"/>
        <v>1</v>
      </c>
      <c r="CD12" s="51">
        <f t="shared" si="30"/>
        <v>4</v>
      </c>
      <c r="CE12" s="51">
        <f t="shared" si="31"/>
        <v>5</v>
      </c>
      <c r="CF12" s="51">
        <f t="shared" si="32"/>
        <v>8</v>
      </c>
      <c r="CG12" s="51">
        <f t="shared" si="33"/>
        <v>14</v>
      </c>
      <c r="CH12" s="51">
        <f t="shared" si="34"/>
        <v>-6</v>
      </c>
      <c r="CI12" s="51">
        <f t="shared" si="35"/>
        <v>7</v>
      </c>
      <c r="CJ12" s="47"/>
      <c r="CK12" s="61"/>
      <c r="CL12" s="42">
        <f t="shared" si="56"/>
        <v>70144081006</v>
      </c>
      <c r="CM12" s="43"/>
      <c r="CN12" s="63">
        <v>7</v>
      </c>
      <c r="CO12" s="42">
        <f t="shared" si="36"/>
        <v>190552071099</v>
      </c>
      <c r="CP12" s="43"/>
      <c r="CQ12" s="65">
        <v>7</v>
      </c>
      <c r="CR12" s="42">
        <f t="shared" si="37"/>
        <v>14</v>
      </c>
      <c r="CS12" s="63"/>
    </row>
    <row r="13" spans="2:97" ht="21" customHeight="1" x14ac:dyDescent="0.25">
      <c r="B13" s="71" t="s">
        <v>17</v>
      </c>
      <c r="C13" s="51" t="str">
        <f t="shared" si="38"/>
        <v>Schalke 04</v>
      </c>
      <c r="D13" s="71">
        <f t="shared" si="0"/>
        <v>12</v>
      </c>
      <c r="E13" s="71">
        <f t="shared" si="1"/>
        <v>5</v>
      </c>
      <c r="F13" s="71">
        <f t="shared" si="39"/>
        <v>3</v>
      </c>
      <c r="G13" s="71">
        <f t="shared" si="2"/>
        <v>4</v>
      </c>
      <c r="H13" s="71">
        <f t="shared" si="3"/>
        <v>14</v>
      </c>
      <c r="I13" s="71">
        <f t="shared" si="4"/>
        <v>9</v>
      </c>
      <c r="J13" s="71">
        <f t="shared" si="40"/>
        <v>5</v>
      </c>
      <c r="K13" s="71">
        <f t="shared" si="41"/>
        <v>18</v>
      </c>
      <c r="L13" s="62"/>
      <c r="M13" s="62"/>
      <c r="N13" s="62"/>
      <c r="O13" s="62"/>
      <c r="P13" s="51">
        <f>Classificação!Y16</f>
        <v>8</v>
      </c>
      <c r="Q13" s="51" t="str">
        <f>Classificação!P16</f>
        <v>Monaco</v>
      </c>
      <c r="R13" s="51">
        <f>Classificação!Q16</f>
        <v>10</v>
      </c>
      <c r="S13" s="51">
        <f>Classificação!R16</f>
        <v>1</v>
      </c>
      <c r="T13" s="51">
        <f>Classificação!S16</f>
        <v>4</v>
      </c>
      <c r="U13" s="51">
        <f>Classificação!T16</f>
        <v>5</v>
      </c>
      <c r="V13" s="51">
        <f>Classificação!U16</f>
        <v>7</v>
      </c>
      <c r="W13" s="51">
        <f>Classificação!V16</f>
        <v>11</v>
      </c>
      <c r="X13" s="51">
        <f>Classificação!W16</f>
        <v>-4</v>
      </c>
      <c r="Y13" s="51">
        <f>Classificação!X16</f>
        <v>7</v>
      </c>
      <c r="Z13" s="47">
        <v>250654161705</v>
      </c>
      <c r="AA13" s="47"/>
      <c r="AB13" s="57">
        <v>8</v>
      </c>
      <c r="AC13" s="58">
        <f t="shared" si="5"/>
        <v>0</v>
      </c>
      <c r="AD13" s="58">
        <f t="shared" si="6"/>
        <v>0</v>
      </c>
      <c r="AE13" s="58">
        <f t="shared" si="7"/>
        <v>0</v>
      </c>
      <c r="AF13" s="58">
        <f t="shared" si="42"/>
        <v>0</v>
      </c>
      <c r="AG13" s="58">
        <f t="shared" si="8"/>
        <v>0</v>
      </c>
      <c r="AH13" s="58">
        <f t="shared" si="9"/>
        <v>0</v>
      </c>
      <c r="AI13" s="58">
        <f t="shared" si="10"/>
        <v>0</v>
      </c>
      <c r="AJ13" s="58">
        <f t="shared" si="43"/>
        <v>0</v>
      </c>
      <c r="AK13" s="58">
        <f t="shared" si="44"/>
        <v>0</v>
      </c>
      <c r="AL13" s="58"/>
      <c r="AM13" s="57">
        <v>8</v>
      </c>
      <c r="AN13" s="58">
        <f t="shared" si="11"/>
        <v>0</v>
      </c>
      <c r="AO13" s="58">
        <f t="shared" si="12"/>
        <v>0</v>
      </c>
      <c r="AP13" s="58">
        <f t="shared" si="13"/>
        <v>0</v>
      </c>
      <c r="AQ13" s="58">
        <f t="shared" si="45"/>
        <v>0</v>
      </c>
      <c r="AR13" s="58">
        <f t="shared" si="14"/>
        <v>0</v>
      </c>
      <c r="AS13" s="58">
        <f t="shared" si="15"/>
        <v>0</v>
      </c>
      <c r="AT13" s="58">
        <f t="shared" si="16"/>
        <v>0</v>
      </c>
      <c r="AU13" s="58">
        <f t="shared" si="46"/>
        <v>0</v>
      </c>
      <c r="AV13" s="58">
        <f t="shared" si="47"/>
        <v>0</v>
      </c>
      <c r="AW13" s="58"/>
      <c r="AX13" s="57">
        <v>8</v>
      </c>
      <c r="AY13" s="58">
        <f t="shared" si="17"/>
        <v>0</v>
      </c>
      <c r="AZ13" s="58">
        <f t="shared" si="18"/>
        <v>0</v>
      </c>
      <c r="BA13" s="58">
        <f t="shared" si="19"/>
        <v>0</v>
      </c>
      <c r="BB13" s="58">
        <f t="shared" si="48"/>
        <v>0</v>
      </c>
      <c r="BC13" s="58">
        <f t="shared" si="20"/>
        <v>0</v>
      </c>
      <c r="BD13" s="58">
        <f t="shared" si="21"/>
        <v>0</v>
      </c>
      <c r="BE13" s="58">
        <f t="shared" si="22"/>
        <v>0</v>
      </c>
      <c r="BF13" s="58">
        <f t="shared" si="49"/>
        <v>0</v>
      </c>
      <c r="BG13" s="58">
        <f t="shared" si="50"/>
        <v>0</v>
      </c>
      <c r="BH13" s="47"/>
      <c r="BI13" s="47"/>
      <c r="BJ13" s="57">
        <v>8</v>
      </c>
      <c r="BK13" s="58">
        <f t="shared" si="23"/>
        <v>0</v>
      </c>
      <c r="BL13" s="58">
        <f t="shared" si="24"/>
        <v>0</v>
      </c>
      <c r="BM13" s="58">
        <f t="shared" si="25"/>
        <v>0</v>
      </c>
      <c r="BN13" s="58">
        <f t="shared" si="51"/>
        <v>0</v>
      </c>
      <c r="BO13" s="58">
        <f t="shared" si="26"/>
        <v>0</v>
      </c>
      <c r="BP13" s="58">
        <f t="shared" si="27"/>
        <v>0</v>
      </c>
      <c r="BQ13" s="58">
        <f t="shared" si="28"/>
        <v>0</v>
      </c>
      <c r="BR13" s="58">
        <f t="shared" si="52"/>
        <v>0</v>
      </c>
      <c r="BS13" s="58">
        <f t="shared" si="53"/>
        <v>0</v>
      </c>
      <c r="BT13" s="47"/>
      <c r="BU13" s="47"/>
      <c r="BV13" s="47"/>
      <c r="BW13" s="47"/>
      <c r="BX13" s="47"/>
      <c r="BY13" s="62"/>
      <c r="BZ13" s="51">
        <v>8</v>
      </c>
      <c r="CA13" s="51" t="str">
        <f t="shared" si="54"/>
        <v>Monaco</v>
      </c>
      <c r="CB13" s="51">
        <f t="shared" si="55"/>
        <v>10</v>
      </c>
      <c r="CC13" s="51">
        <f t="shared" si="29"/>
        <v>1</v>
      </c>
      <c r="CD13" s="51">
        <f t="shared" si="30"/>
        <v>4</v>
      </c>
      <c r="CE13" s="51">
        <f t="shared" si="31"/>
        <v>5</v>
      </c>
      <c r="CF13" s="51">
        <f t="shared" si="32"/>
        <v>7</v>
      </c>
      <c r="CG13" s="51">
        <f t="shared" si="33"/>
        <v>11</v>
      </c>
      <c r="CH13" s="51">
        <f t="shared" si="34"/>
        <v>-4</v>
      </c>
      <c r="CI13" s="51">
        <f t="shared" si="35"/>
        <v>7</v>
      </c>
      <c r="CJ13" s="47"/>
      <c r="CK13" s="61"/>
      <c r="CL13" s="42">
        <f t="shared" si="56"/>
        <v>70146071005</v>
      </c>
      <c r="CM13" s="43"/>
      <c r="CN13" s="63">
        <v>8</v>
      </c>
      <c r="CO13" s="42">
        <f t="shared" si="36"/>
        <v>180555141208</v>
      </c>
      <c r="CP13" s="43"/>
      <c r="CQ13" s="65">
        <v>8</v>
      </c>
      <c r="CR13" s="42">
        <f t="shared" si="37"/>
        <v>5</v>
      </c>
      <c r="CS13" s="63"/>
    </row>
    <row r="14" spans="2:97" ht="21" customHeight="1" x14ac:dyDescent="0.25">
      <c r="B14" s="56" t="s">
        <v>18</v>
      </c>
      <c r="C14" s="56" t="str">
        <f t="shared" si="38"/>
        <v>R B Leipzig</v>
      </c>
      <c r="D14" s="56">
        <f t="shared" si="0"/>
        <v>12</v>
      </c>
      <c r="E14" s="56">
        <f t="shared" si="1"/>
        <v>5</v>
      </c>
      <c r="F14" s="56">
        <f t="shared" si="39"/>
        <v>3</v>
      </c>
      <c r="G14" s="56">
        <f t="shared" si="2"/>
        <v>4</v>
      </c>
      <c r="H14" s="56">
        <f t="shared" si="3"/>
        <v>14</v>
      </c>
      <c r="I14" s="56">
        <f t="shared" si="4"/>
        <v>17</v>
      </c>
      <c r="J14" s="56">
        <f t="shared" si="40"/>
        <v>-3</v>
      </c>
      <c r="K14" s="56">
        <f t="shared" si="41"/>
        <v>18</v>
      </c>
      <c r="L14" s="62"/>
      <c r="M14" s="62"/>
      <c r="N14" s="62"/>
      <c r="O14" s="62"/>
      <c r="P14" s="51">
        <f>Classificação!Y17</f>
        <v>9</v>
      </c>
      <c r="Q14" s="51" t="str">
        <f>Classificação!P17</f>
        <v>Beşiktaş</v>
      </c>
      <c r="R14" s="51">
        <f>Classificação!Q17</f>
        <v>10</v>
      </c>
      <c r="S14" s="51">
        <f>Classificação!R17</f>
        <v>6</v>
      </c>
      <c r="T14" s="51">
        <f>Classificação!S17</f>
        <v>2</v>
      </c>
      <c r="U14" s="51">
        <f>Classificação!T17</f>
        <v>2</v>
      </c>
      <c r="V14" s="51">
        <f>Classificação!U17</f>
        <v>20</v>
      </c>
      <c r="W14" s="51">
        <f>Classificação!V17</f>
        <v>8</v>
      </c>
      <c r="X14" s="51">
        <f>Classificação!W17</f>
        <v>12</v>
      </c>
      <c r="Y14" s="51">
        <f>Classificação!X17</f>
        <v>20</v>
      </c>
      <c r="Z14" s="47">
        <v>150339091704</v>
      </c>
      <c r="AA14" s="47"/>
      <c r="AB14" s="57">
        <v>9</v>
      </c>
      <c r="AC14" s="58" t="str">
        <f t="shared" si="5"/>
        <v>Beşiktaş</v>
      </c>
      <c r="AD14" s="58">
        <f t="shared" si="6"/>
        <v>1</v>
      </c>
      <c r="AE14" s="58">
        <f t="shared" si="7"/>
        <v>1</v>
      </c>
      <c r="AF14" s="58">
        <f t="shared" si="42"/>
        <v>0</v>
      </c>
      <c r="AG14" s="58">
        <f t="shared" si="8"/>
        <v>0</v>
      </c>
      <c r="AH14" s="58">
        <f t="shared" si="9"/>
        <v>3</v>
      </c>
      <c r="AI14" s="58">
        <f t="shared" si="10"/>
        <v>0</v>
      </c>
      <c r="AJ14" s="58">
        <f t="shared" si="43"/>
        <v>3</v>
      </c>
      <c r="AK14" s="58">
        <f t="shared" si="44"/>
        <v>3</v>
      </c>
      <c r="AL14" s="58"/>
      <c r="AM14" s="57">
        <v>9</v>
      </c>
      <c r="AN14" s="58" t="str">
        <f t="shared" si="11"/>
        <v>Beşiktaş</v>
      </c>
      <c r="AO14" s="58">
        <f t="shared" si="12"/>
        <v>1</v>
      </c>
      <c r="AP14" s="58">
        <f t="shared" si="13"/>
        <v>1</v>
      </c>
      <c r="AQ14" s="58">
        <f t="shared" si="45"/>
        <v>0</v>
      </c>
      <c r="AR14" s="58">
        <f t="shared" si="14"/>
        <v>0</v>
      </c>
      <c r="AS14" s="58">
        <f t="shared" si="15"/>
        <v>2</v>
      </c>
      <c r="AT14" s="58">
        <f t="shared" si="16"/>
        <v>0</v>
      </c>
      <c r="AU14" s="58">
        <f t="shared" si="46"/>
        <v>2</v>
      </c>
      <c r="AV14" s="58">
        <f t="shared" si="47"/>
        <v>3</v>
      </c>
      <c r="AW14" s="58"/>
      <c r="AX14" s="57">
        <v>9</v>
      </c>
      <c r="AY14" s="58" t="str">
        <f t="shared" si="17"/>
        <v>Beşiktaş</v>
      </c>
      <c r="AZ14" s="58">
        <f t="shared" si="18"/>
        <v>1</v>
      </c>
      <c r="BA14" s="58">
        <f t="shared" si="19"/>
        <v>0</v>
      </c>
      <c r="BB14" s="58">
        <f t="shared" si="48"/>
        <v>1</v>
      </c>
      <c r="BC14" s="58">
        <f t="shared" si="20"/>
        <v>0</v>
      </c>
      <c r="BD14" s="58">
        <f t="shared" si="21"/>
        <v>1</v>
      </c>
      <c r="BE14" s="58">
        <f t="shared" si="22"/>
        <v>1</v>
      </c>
      <c r="BF14" s="58">
        <f t="shared" si="49"/>
        <v>0</v>
      </c>
      <c r="BG14" s="58">
        <f t="shared" si="50"/>
        <v>1</v>
      </c>
      <c r="BH14" s="47"/>
      <c r="BI14" s="47"/>
      <c r="BJ14" s="57">
        <v>9</v>
      </c>
      <c r="BK14" s="58" t="str">
        <f t="shared" si="23"/>
        <v>Beşiktaş</v>
      </c>
      <c r="BL14" s="58">
        <f t="shared" si="24"/>
        <v>1</v>
      </c>
      <c r="BM14" s="58">
        <f t="shared" si="25"/>
        <v>1</v>
      </c>
      <c r="BN14" s="58">
        <f t="shared" si="51"/>
        <v>0</v>
      </c>
      <c r="BO14" s="58">
        <f t="shared" si="26"/>
        <v>0</v>
      </c>
      <c r="BP14" s="58">
        <f t="shared" si="27"/>
        <v>1</v>
      </c>
      <c r="BQ14" s="58">
        <f t="shared" si="28"/>
        <v>0</v>
      </c>
      <c r="BR14" s="58">
        <f t="shared" si="52"/>
        <v>1</v>
      </c>
      <c r="BS14" s="58">
        <f t="shared" si="53"/>
        <v>3</v>
      </c>
      <c r="BT14" s="47"/>
      <c r="BU14" s="47"/>
      <c r="BV14" s="47"/>
      <c r="BW14" s="47"/>
      <c r="BX14" s="47"/>
      <c r="BY14" s="62"/>
      <c r="BZ14" s="51">
        <v>9</v>
      </c>
      <c r="CA14" s="51" t="str">
        <f t="shared" si="54"/>
        <v>Beşiktaş</v>
      </c>
      <c r="CB14" s="51">
        <f t="shared" si="55"/>
        <v>14</v>
      </c>
      <c r="CC14" s="51">
        <f t="shared" si="29"/>
        <v>9</v>
      </c>
      <c r="CD14" s="51">
        <f t="shared" si="30"/>
        <v>3</v>
      </c>
      <c r="CE14" s="51">
        <f t="shared" si="31"/>
        <v>2</v>
      </c>
      <c r="CF14" s="51">
        <f t="shared" si="32"/>
        <v>27</v>
      </c>
      <c r="CG14" s="51">
        <f t="shared" si="33"/>
        <v>9</v>
      </c>
      <c r="CH14" s="51">
        <f t="shared" si="34"/>
        <v>18</v>
      </c>
      <c r="CI14" s="51">
        <f t="shared" si="35"/>
        <v>30</v>
      </c>
      <c r="CJ14" s="47"/>
      <c r="CK14" s="61"/>
      <c r="CL14" s="42">
        <f t="shared" si="56"/>
        <v>300968271404</v>
      </c>
      <c r="CM14" s="43"/>
      <c r="CN14" s="63">
        <v>9</v>
      </c>
      <c r="CO14" s="42">
        <f t="shared" si="36"/>
        <v>180547141196</v>
      </c>
      <c r="CP14" s="43"/>
      <c r="CQ14" s="65">
        <v>9</v>
      </c>
      <c r="CR14" s="42">
        <f t="shared" si="37"/>
        <v>17</v>
      </c>
      <c r="CS14" s="63"/>
    </row>
    <row r="15" spans="2:97" ht="21" customHeight="1" x14ac:dyDescent="0.25">
      <c r="B15" s="71" t="s">
        <v>40</v>
      </c>
      <c r="C15" s="51" t="str">
        <f t="shared" si="38"/>
        <v>Villarreal</v>
      </c>
      <c r="D15" s="71">
        <f t="shared" si="0"/>
        <v>11</v>
      </c>
      <c r="E15" s="71">
        <f t="shared" si="1"/>
        <v>4</v>
      </c>
      <c r="F15" s="71">
        <f t="shared" si="39"/>
        <v>3</v>
      </c>
      <c r="G15" s="71">
        <f t="shared" si="2"/>
        <v>4</v>
      </c>
      <c r="H15" s="71">
        <f t="shared" si="3"/>
        <v>9</v>
      </c>
      <c r="I15" s="71">
        <f t="shared" si="4"/>
        <v>11</v>
      </c>
      <c r="J15" s="71">
        <f t="shared" si="40"/>
        <v>-2</v>
      </c>
      <c r="K15" s="71">
        <f t="shared" si="41"/>
        <v>15</v>
      </c>
      <c r="L15" s="62"/>
      <c r="M15" s="62"/>
      <c r="N15" s="62"/>
      <c r="O15" s="62"/>
      <c r="P15" s="51">
        <f>Classificação!Y18</f>
        <v>10</v>
      </c>
      <c r="Q15" s="51" t="str">
        <f>Classificação!P18</f>
        <v>West Ham</v>
      </c>
      <c r="R15" s="51">
        <f>Classificação!Q18</f>
        <v>10</v>
      </c>
      <c r="S15" s="51">
        <f>Classificação!R18</f>
        <v>1</v>
      </c>
      <c r="T15" s="51">
        <f>Classificação!S18</f>
        <v>5</v>
      </c>
      <c r="U15" s="51">
        <f>Classificação!T18</f>
        <v>4</v>
      </c>
      <c r="V15" s="51">
        <f>Classificação!U18</f>
        <v>10</v>
      </c>
      <c r="W15" s="51">
        <f>Classificação!V18</f>
        <v>13</v>
      </c>
      <c r="X15" s="51">
        <f>Classificação!W18</f>
        <v>-3</v>
      </c>
      <c r="Y15" s="51">
        <f>Classificação!X18</f>
        <v>8</v>
      </c>
      <c r="Z15" s="47">
        <v>310959141703</v>
      </c>
      <c r="AA15" s="47"/>
      <c r="AB15" s="57">
        <v>10</v>
      </c>
      <c r="AC15" s="58" t="str">
        <f t="shared" si="5"/>
        <v>West Ham</v>
      </c>
      <c r="AD15" s="58">
        <f t="shared" si="6"/>
        <v>1</v>
      </c>
      <c r="AE15" s="58">
        <f t="shared" si="7"/>
        <v>0</v>
      </c>
      <c r="AF15" s="58">
        <f t="shared" si="42"/>
        <v>0</v>
      </c>
      <c r="AG15" s="58">
        <f t="shared" si="8"/>
        <v>1</v>
      </c>
      <c r="AH15" s="58">
        <f t="shared" si="9"/>
        <v>0</v>
      </c>
      <c r="AI15" s="58">
        <f t="shared" si="10"/>
        <v>2</v>
      </c>
      <c r="AJ15" s="58">
        <f t="shared" si="43"/>
        <v>-2</v>
      </c>
      <c r="AK15" s="58">
        <f t="shared" si="44"/>
        <v>0</v>
      </c>
      <c r="AL15" s="58"/>
      <c r="AM15" s="57">
        <v>10</v>
      </c>
      <c r="AN15" s="58">
        <f t="shared" si="11"/>
        <v>0</v>
      </c>
      <c r="AO15" s="58">
        <f t="shared" si="12"/>
        <v>0</v>
      </c>
      <c r="AP15" s="58">
        <f t="shared" si="13"/>
        <v>0</v>
      </c>
      <c r="AQ15" s="58">
        <f t="shared" si="45"/>
        <v>0</v>
      </c>
      <c r="AR15" s="58">
        <f t="shared" si="14"/>
        <v>0</v>
      </c>
      <c r="AS15" s="58">
        <f t="shared" si="15"/>
        <v>0</v>
      </c>
      <c r="AT15" s="58">
        <f t="shared" si="16"/>
        <v>0</v>
      </c>
      <c r="AU15" s="58">
        <f t="shared" si="46"/>
        <v>0</v>
      </c>
      <c r="AV15" s="58">
        <f t="shared" si="47"/>
        <v>0</v>
      </c>
      <c r="AW15" s="58"/>
      <c r="AX15" s="57">
        <v>10</v>
      </c>
      <c r="AY15" s="58">
        <f t="shared" si="17"/>
        <v>0</v>
      </c>
      <c r="AZ15" s="58">
        <f t="shared" si="18"/>
        <v>0</v>
      </c>
      <c r="BA15" s="58">
        <f t="shared" si="19"/>
        <v>0</v>
      </c>
      <c r="BB15" s="58">
        <f t="shared" si="48"/>
        <v>0</v>
      </c>
      <c r="BC15" s="58">
        <f t="shared" si="20"/>
        <v>0</v>
      </c>
      <c r="BD15" s="58">
        <f t="shared" si="21"/>
        <v>0</v>
      </c>
      <c r="BE15" s="58">
        <f t="shared" si="22"/>
        <v>0</v>
      </c>
      <c r="BF15" s="58">
        <f t="shared" si="49"/>
        <v>0</v>
      </c>
      <c r="BG15" s="58">
        <f t="shared" si="50"/>
        <v>0</v>
      </c>
      <c r="BH15" s="47"/>
      <c r="BI15" s="47"/>
      <c r="BJ15" s="57">
        <v>10</v>
      </c>
      <c r="BK15" s="58">
        <f t="shared" si="23"/>
        <v>0</v>
      </c>
      <c r="BL15" s="58">
        <f t="shared" si="24"/>
        <v>0</v>
      </c>
      <c r="BM15" s="58">
        <f t="shared" si="25"/>
        <v>0</v>
      </c>
      <c r="BN15" s="58">
        <f t="shared" si="51"/>
        <v>0</v>
      </c>
      <c r="BO15" s="58">
        <f t="shared" si="26"/>
        <v>0</v>
      </c>
      <c r="BP15" s="58">
        <f t="shared" si="27"/>
        <v>0</v>
      </c>
      <c r="BQ15" s="58">
        <f t="shared" si="28"/>
        <v>0</v>
      </c>
      <c r="BR15" s="58">
        <f t="shared" si="52"/>
        <v>0</v>
      </c>
      <c r="BS15" s="58">
        <f t="shared" si="53"/>
        <v>0</v>
      </c>
      <c r="BT15" s="47"/>
      <c r="BU15" s="47"/>
      <c r="BV15" s="47"/>
      <c r="BW15" s="47"/>
      <c r="BX15" s="47"/>
      <c r="BY15" s="62"/>
      <c r="BZ15" s="51">
        <v>10</v>
      </c>
      <c r="CA15" s="51" t="str">
        <f t="shared" si="54"/>
        <v>West Ham</v>
      </c>
      <c r="CB15" s="51">
        <f t="shared" si="55"/>
        <v>11</v>
      </c>
      <c r="CC15" s="51">
        <f t="shared" si="29"/>
        <v>1</v>
      </c>
      <c r="CD15" s="51">
        <f t="shared" si="30"/>
        <v>5</v>
      </c>
      <c r="CE15" s="51">
        <f t="shared" si="31"/>
        <v>5</v>
      </c>
      <c r="CF15" s="51">
        <f t="shared" si="32"/>
        <v>10</v>
      </c>
      <c r="CG15" s="51">
        <f t="shared" si="33"/>
        <v>15</v>
      </c>
      <c r="CH15" s="51">
        <f t="shared" si="34"/>
        <v>-5</v>
      </c>
      <c r="CI15" s="51">
        <f t="shared" si="35"/>
        <v>8</v>
      </c>
      <c r="CJ15" s="47"/>
      <c r="CK15" s="61"/>
      <c r="CL15" s="42">
        <f t="shared" si="56"/>
        <v>80145101103</v>
      </c>
      <c r="CM15" s="43"/>
      <c r="CN15" s="63">
        <v>10</v>
      </c>
      <c r="CO15" s="42">
        <f t="shared" si="36"/>
        <v>150448091097</v>
      </c>
      <c r="CP15" s="43"/>
      <c r="CQ15" s="65">
        <v>10</v>
      </c>
      <c r="CR15" s="42">
        <f t="shared" si="37"/>
        <v>16</v>
      </c>
      <c r="CS15" s="63"/>
    </row>
    <row r="16" spans="2:97" ht="21" customHeight="1" x14ac:dyDescent="0.25">
      <c r="B16" s="56" t="s">
        <v>41</v>
      </c>
      <c r="C16" s="56" t="str">
        <f t="shared" si="38"/>
        <v>Sevilla</v>
      </c>
      <c r="D16" s="56">
        <f t="shared" si="0"/>
        <v>11</v>
      </c>
      <c r="E16" s="56">
        <f t="shared" si="1"/>
        <v>3</v>
      </c>
      <c r="F16" s="56">
        <f t="shared" si="39"/>
        <v>3</v>
      </c>
      <c r="G16" s="56">
        <f t="shared" si="2"/>
        <v>5</v>
      </c>
      <c r="H16" s="56">
        <f t="shared" si="3"/>
        <v>14</v>
      </c>
      <c r="I16" s="56">
        <f t="shared" si="4"/>
        <v>17</v>
      </c>
      <c r="J16" s="56">
        <f t="shared" si="40"/>
        <v>-3</v>
      </c>
      <c r="K16" s="56">
        <f t="shared" si="41"/>
        <v>12</v>
      </c>
      <c r="L16" s="62"/>
      <c r="M16" s="62"/>
      <c r="N16" s="62"/>
      <c r="O16" s="62"/>
      <c r="P16" s="51">
        <f>Classificação!Y19</f>
        <v>11</v>
      </c>
      <c r="Q16" s="51" t="str">
        <f>Classificação!P19</f>
        <v>Olympique</v>
      </c>
      <c r="R16" s="51">
        <f>Classificação!Q19</f>
        <v>10</v>
      </c>
      <c r="S16" s="51">
        <f>Classificação!R19</f>
        <v>2</v>
      </c>
      <c r="T16" s="51">
        <f>Classificação!S19</f>
        <v>1</v>
      </c>
      <c r="U16" s="51">
        <f>Classificação!T19</f>
        <v>7</v>
      </c>
      <c r="V16" s="51">
        <f>Classificação!U19</f>
        <v>3</v>
      </c>
      <c r="W16" s="51">
        <f>Classificação!V19</f>
        <v>12</v>
      </c>
      <c r="X16" s="51">
        <f>Classificação!W19</f>
        <v>-9</v>
      </c>
      <c r="Y16" s="51">
        <f>Classificação!X19</f>
        <v>7</v>
      </c>
      <c r="Z16" s="47">
        <v>240555141702</v>
      </c>
      <c r="AA16" s="47"/>
      <c r="AB16" s="57">
        <v>11</v>
      </c>
      <c r="AC16" s="58" t="str">
        <f t="shared" si="5"/>
        <v>Olympique</v>
      </c>
      <c r="AD16" s="58">
        <f t="shared" si="6"/>
        <v>1</v>
      </c>
      <c r="AE16" s="58">
        <f t="shared" si="7"/>
        <v>0</v>
      </c>
      <c r="AF16" s="58">
        <f t="shared" si="42"/>
        <v>0</v>
      </c>
      <c r="AG16" s="58">
        <f t="shared" si="8"/>
        <v>1</v>
      </c>
      <c r="AH16" s="58">
        <f t="shared" si="9"/>
        <v>0</v>
      </c>
      <c r="AI16" s="58">
        <f t="shared" si="10"/>
        <v>3</v>
      </c>
      <c r="AJ16" s="58">
        <f t="shared" si="43"/>
        <v>-3</v>
      </c>
      <c r="AK16" s="58">
        <f t="shared" si="44"/>
        <v>0</v>
      </c>
      <c r="AL16" s="58"/>
      <c r="AM16" s="57">
        <v>11</v>
      </c>
      <c r="AN16" s="58">
        <f t="shared" si="11"/>
        <v>0</v>
      </c>
      <c r="AO16" s="58">
        <f t="shared" si="12"/>
        <v>0</v>
      </c>
      <c r="AP16" s="58">
        <f t="shared" si="13"/>
        <v>0</v>
      </c>
      <c r="AQ16" s="58">
        <f t="shared" si="45"/>
        <v>0</v>
      </c>
      <c r="AR16" s="58">
        <f t="shared" si="14"/>
        <v>0</v>
      </c>
      <c r="AS16" s="58">
        <f t="shared" si="15"/>
        <v>0</v>
      </c>
      <c r="AT16" s="58">
        <f t="shared" si="16"/>
        <v>0</v>
      </c>
      <c r="AU16" s="58">
        <f t="shared" si="46"/>
        <v>0</v>
      </c>
      <c r="AV16" s="58">
        <f t="shared" si="47"/>
        <v>0</v>
      </c>
      <c r="AW16" s="58"/>
      <c r="AX16" s="57">
        <v>11</v>
      </c>
      <c r="AY16" s="58">
        <f t="shared" si="17"/>
        <v>0</v>
      </c>
      <c r="AZ16" s="58">
        <f t="shared" si="18"/>
        <v>0</v>
      </c>
      <c r="BA16" s="58">
        <f t="shared" si="19"/>
        <v>0</v>
      </c>
      <c r="BB16" s="58">
        <f t="shared" si="48"/>
        <v>0</v>
      </c>
      <c r="BC16" s="58">
        <f t="shared" si="20"/>
        <v>0</v>
      </c>
      <c r="BD16" s="58">
        <f t="shared" si="21"/>
        <v>0</v>
      </c>
      <c r="BE16" s="58">
        <f t="shared" si="22"/>
        <v>0</v>
      </c>
      <c r="BF16" s="58">
        <f t="shared" si="49"/>
        <v>0</v>
      </c>
      <c r="BG16" s="58">
        <f t="shared" si="50"/>
        <v>0</v>
      </c>
      <c r="BH16" s="47"/>
      <c r="BI16" s="47"/>
      <c r="BJ16" s="57">
        <v>11</v>
      </c>
      <c r="BK16" s="58">
        <f t="shared" si="23"/>
        <v>0</v>
      </c>
      <c r="BL16" s="58">
        <f t="shared" si="24"/>
        <v>0</v>
      </c>
      <c r="BM16" s="58">
        <f t="shared" si="25"/>
        <v>0</v>
      </c>
      <c r="BN16" s="58">
        <f t="shared" si="51"/>
        <v>0</v>
      </c>
      <c r="BO16" s="58">
        <f t="shared" si="26"/>
        <v>0</v>
      </c>
      <c r="BP16" s="58">
        <f t="shared" si="27"/>
        <v>0</v>
      </c>
      <c r="BQ16" s="58">
        <f t="shared" si="28"/>
        <v>0</v>
      </c>
      <c r="BR16" s="58">
        <f t="shared" si="52"/>
        <v>0</v>
      </c>
      <c r="BS16" s="58">
        <f t="shared" si="53"/>
        <v>0</v>
      </c>
      <c r="BT16" s="47"/>
      <c r="BU16" s="47"/>
      <c r="BV16" s="47"/>
      <c r="BW16" s="47"/>
      <c r="BX16" s="47"/>
      <c r="BY16" s="62"/>
      <c r="BZ16" s="51">
        <v>11</v>
      </c>
      <c r="CA16" s="51" t="str">
        <f t="shared" si="54"/>
        <v>Olympique</v>
      </c>
      <c r="CB16" s="51">
        <f t="shared" si="55"/>
        <v>11</v>
      </c>
      <c r="CC16" s="51">
        <f t="shared" si="29"/>
        <v>2</v>
      </c>
      <c r="CD16" s="51">
        <f t="shared" si="30"/>
        <v>1</v>
      </c>
      <c r="CE16" s="51">
        <f t="shared" si="31"/>
        <v>8</v>
      </c>
      <c r="CF16" s="51">
        <f t="shared" si="32"/>
        <v>3</v>
      </c>
      <c r="CG16" s="51">
        <f t="shared" si="33"/>
        <v>15</v>
      </c>
      <c r="CH16" s="51">
        <f t="shared" si="34"/>
        <v>-12</v>
      </c>
      <c r="CI16" s="51">
        <f t="shared" si="35"/>
        <v>7</v>
      </c>
      <c r="CJ16" s="47"/>
      <c r="CK16" s="61"/>
      <c r="CL16" s="42">
        <f t="shared" si="56"/>
        <v>70238031102</v>
      </c>
      <c r="CM16" s="43"/>
      <c r="CN16" s="63">
        <v>11</v>
      </c>
      <c r="CO16" s="42">
        <f t="shared" si="36"/>
        <v>120347141101</v>
      </c>
      <c r="CP16" s="43"/>
      <c r="CQ16" s="65">
        <v>11</v>
      </c>
      <c r="CR16" s="42">
        <f t="shared" si="37"/>
        <v>12</v>
      </c>
      <c r="CS16" s="63"/>
    </row>
    <row r="17" spans="2:97" ht="21" customHeight="1" x14ac:dyDescent="0.25">
      <c r="B17" s="71" t="s">
        <v>42</v>
      </c>
      <c r="C17" s="51" t="str">
        <f t="shared" si="38"/>
        <v>Hoffenheim</v>
      </c>
      <c r="D17" s="71">
        <f t="shared" si="0"/>
        <v>11</v>
      </c>
      <c r="E17" s="71">
        <f t="shared" si="1"/>
        <v>3</v>
      </c>
      <c r="F17" s="71">
        <f t="shared" si="39"/>
        <v>3</v>
      </c>
      <c r="G17" s="71">
        <f t="shared" si="2"/>
        <v>5</v>
      </c>
      <c r="H17" s="71">
        <f t="shared" si="3"/>
        <v>10</v>
      </c>
      <c r="I17" s="71">
        <f t="shared" si="4"/>
        <v>19</v>
      </c>
      <c r="J17" s="71">
        <f t="shared" si="40"/>
        <v>-9</v>
      </c>
      <c r="K17" s="71">
        <f t="shared" si="41"/>
        <v>12</v>
      </c>
      <c r="L17" s="62"/>
      <c r="M17" s="62"/>
      <c r="N17" s="62"/>
      <c r="O17" s="62"/>
      <c r="P17" s="51">
        <f>Classificação!Y25</f>
        <v>12</v>
      </c>
      <c r="Q17" s="51" t="str">
        <f>Classificação!P25</f>
        <v>Sevilla</v>
      </c>
      <c r="R17" s="51">
        <f>Classificação!Q25</f>
        <v>10</v>
      </c>
      <c r="S17" s="51">
        <f>Classificação!R25</f>
        <v>3</v>
      </c>
      <c r="T17" s="51">
        <f>Classificação!S25</f>
        <v>2</v>
      </c>
      <c r="U17" s="51">
        <f>Classificação!T25</f>
        <v>5</v>
      </c>
      <c r="V17" s="51">
        <f>Classificação!U25</f>
        <v>13</v>
      </c>
      <c r="W17" s="51">
        <f>Classificação!V25</f>
        <v>16</v>
      </c>
      <c r="X17" s="51">
        <f>Classificação!W25</f>
        <v>-3</v>
      </c>
      <c r="Y17" s="51">
        <f>Classificação!X25</f>
        <v>11</v>
      </c>
      <c r="Z17" s="47">
        <v>310968281701</v>
      </c>
      <c r="AA17" s="47"/>
      <c r="AB17" s="57">
        <v>12</v>
      </c>
      <c r="AC17" s="58" t="str">
        <f t="shared" si="5"/>
        <v>Sevilla</v>
      </c>
      <c r="AD17" s="58">
        <f t="shared" si="6"/>
        <v>1</v>
      </c>
      <c r="AE17" s="58">
        <f t="shared" si="7"/>
        <v>0</v>
      </c>
      <c r="AF17" s="58">
        <f t="shared" si="42"/>
        <v>1</v>
      </c>
      <c r="AG17" s="58">
        <f t="shared" si="8"/>
        <v>0</v>
      </c>
      <c r="AH17" s="58">
        <f t="shared" si="9"/>
        <v>1</v>
      </c>
      <c r="AI17" s="58">
        <f t="shared" si="10"/>
        <v>1</v>
      </c>
      <c r="AJ17" s="58">
        <f t="shared" si="43"/>
        <v>0</v>
      </c>
      <c r="AK17" s="58">
        <f t="shared" si="44"/>
        <v>1</v>
      </c>
      <c r="AL17" s="58"/>
      <c r="AM17" s="57">
        <v>12</v>
      </c>
      <c r="AN17" s="58">
        <f t="shared" si="11"/>
        <v>0</v>
      </c>
      <c r="AO17" s="58">
        <f t="shared" si="12"/>
        <v>0</v>
      </c>
      <c r="AP17" s="58">
        <f t="shared" si="13"/>
        <v>0</v>
      </c>
      <c r="AQ17" s="58">
        <f t="shared" si="45"/>
        <v>0</v>
      </c>
      <c r="AR17" s="58">
        <f t="shared" si="14"/>
        <v>0</v>
      </c>
      <c r="AS17" s="58">
        <f t="shared" si="15"/>
        <v>0</v>
      </c>
      <c r="AT17" s="58">
        <f t="shared" si="16"/>
        <v>0</v>
      </c>
      <c r="AU17" s="58">
        <f t="shared" si="46"/>
        <v>0</v>
      </c>
      <c r="AV17" s="58">
        <f t="shared" si="47"/>
        <v>0</v>
      </c>
      <c r="AW17" s="58"/>
      <c r="AX17" s="57">
        <v>12</v>
      </c>
      <c r="AY17" s="58">
        <f t="shared" si="17"/>
        <v>0</v>
      </c>
      <c r="AZ17" s="58">
        <f t="shared" si="18"/>
        <v>0</v>
      </c>
      <c r="BA17" s="58">
        <f t="shared" si="19"/>
        <v>0</v>
      </c>
      <c r="BB17" s="58">
        <f t="shared" si="48"/>
        <v>0</v>
      </c>
      <c r="BC17" s="58">
        <f t="shared" si="20"/>
        <v>0</v>
      </c>
      <c r="BD17" s="58">
        <f t="shared" si="21"/>
        <v>0</v>
      </c>
      <c r="BE17" s="58">
        <f t="shared" si="22"/>
        <v>0</v>
      </c>
      <c r="BF17" s="58">
        <f t="shared" si="49"/>
        <v>0</v>
      </c>
      <c r="BG17" s="58">
        <f t="shared" si="50"/>
        <v>0</v>
      </c>
      <c r="BH17" s="47"/>
      <c r="BI17" s="47"/>
      <c r="BJ17" s="57">
        <v>12</v>
      </c>
      <c r="BK17" s="58">
        <f t="shared" si="23"/>
        <v>0</v>
      </c>
      <c r="BL17" s="58">
        <f t="shared" si="24"/>
        <v>0</v>
      </c>
      <c r="BM17" s="58">
        <f t="shared" si="25"/>
        <v>0</v>
      </c>
      <c r="BN17" s="58">
        <f t="shared" si="51"/>
        <v>0</v>
      </c>
      <c r="BO17" s="58">
        <f t="shared" si="26"/>
        <v>0</v>
      </c>
      <c r="BP17" s="58">
        <f t="shared" si="27"/>
        <v>0</v>
      </c>
      <c r="BQ17" s="58">
        <f t="shared" si="28"/>
        <v>0</v>
      </c>
      <c r="BR17" s="58">
        <f t="shared" si="52"/>
        <v>0</v>
      </c>
      <c r="BS17" s="58">
        <f t="shared" si="53"/>
        <v>0</v>
      </c>
      <c r="BT17" s="47"/>
      <c r="BU17" s="47"/>
      <c r="BV17" s="47"/>
      <c r="BW17" s="47"/>
      <c r="BX17" s="47"/>
      <c r="BY17" s="62"/>
      <c r="BZ17" s="51">
        <v>12</v>
      </c>
      <c r="CA17" s="51" t="str">
        <f t="shared" si="54"/>
        <v>Sevilla</v>
      </c>
      <c r="CB17" s="51">
        <f t="shared" si="55"/>
        <v>11</v>
      </c>
      <c r="CC17" s="51">
        <f t="shared" si="29"/>
        <v>3</v>
      </c>
      <c r="CD17" s="51">
        <f t="shared" si="30"/>
        <v>3</v>
      </c>
      <c r="CE17" s="51">
        <f t="shared" si="31"/>
        <v>5</v>
      </c>
      <c r="CF17" s="51">
        <f t="shared" si="32"/>
        <v>14</v>
      </c>
      <c r="CG17" s="51">
        <f t="shared" si="33"/>
        <v>17</v>
      </c>
      <c r="CH17" s="51">
        <f t="shared" si="34"/>
        <v>-3</v>
      </c>
      <c r="CI17" s="51">
        <f t="shared" si="35"/>
        <v>12</v>
      </c>
      <c r="CJ17" s="47"/>
      <c r="CK17" s="61"/>
      <c r="CL17" s="42">
        <f t="shared" si="56"/>
        <v>120347141101</v>
      </c>
      <c r="CM17" s="43"/>
      <c r="CN17" s="63">
        <v>12</v>
      </c>
      <c r="CO17" s="42">
        <f t="shared" si="36"/>
        <v>120341101111</v>
      </c>
      <c r="CP17" s="43"/>
      <c r="CQ17" s="65">
        <v>12</v>
      </c>
      <c r="CR17" s="42">
        <f t="shared" si="37"/>
        <v>2</v>
      </c>
      <c r="CS17" s="63"/>
    </row>
    <row r="18" spans="2:97" ht="21" customHeight="1" x14ac:dyDescent="0.25">
      <c r="B18" s="56" t="s">
        <v>43</v>
      </c>
      <c r="C18" s="56" t="str">
        <f t="shared" si="38"/>
        <v>Borussia M</v>
      </c>
      <c r="D18" s="56">
        <f t="shared" si="0"/>
        <v>11</v>
      </c>
      <c r="E18" s="56">
        <f t="shared" si="1"/>
        <v>2</v>
      </c>
      <c r="F18" s="56">
        <f t="shared" si="39"/>
        <v>5</v>
      </c>
      <c r="G18" s="56">
        <f t="shared" si="2"/>
        <v>4</v>
      </c>
      <c r="H18" s="56">
        <f t="shared" si="3"/>
        <v>8</v>
      </c>
      <c r="I18" s="56">
        <f t="shared" si="4"/>
        <v>13</v>
      </c>
      <c r="J18" s="56">
        <f t="shared" si="40"/>
        <v>-5</v>
      </c>
      <c r="K18" s="56">
        <f t="shared" si="41"/>
        <v>11</v>
      </c>
      <c r="L18" s="62"/>
      <c r="M18" s="62"/>
      <c r="N18" s="62"/>
      <c r="O18" s="62"/>
      <c r="P18" s="51">
        <f>Classificação!Y26</f>
        <v>13</v>
      </c>
      <c r="Q18" s="51" t="str">
        <f>Classificação!P26</f>
        <v>P S V</v>
      </c>
      <c r="R18" s="51">
        <f>Classificação!Q26</f>
        <v>10</v>
      </c>
      <c r="S18" s="51">
        <f>Classificação!R26</f>
        <v>6</v>
      </c>
      <c r="T18" s="51">
        <f>Classificação!S26</f>
        <v>1</v>
      </c>
      <c r="U18" s="51">
        <f>Classificação!T26</f>
        <v>3</v>
      </c>
      <c r="V18" s="51">
        <f>Classificação!U26</f>
        <v>12</v>
      </c>
      <c r="W18" s="51">
        <f>Classificação!V26</f>
        <v>9</v>
      </c>
      <c r="X18" s="51">
        <f>Classificação!W26</f>
        <v>3</v>
      </c>
      <c r="Y18" s="51">
        <f>Classificação!X26</f>
        <v>19</v>
      </c>
      <c r="Z18" s="47">
        <v>200540091700</v>
      </c>
      <c r="AA18" s="47"/>
      <c r="AB18" s="57">
        <v>13</v>
      </c>
      <c r="AC18" s="58" t="str">
        <f t="shared" si="5"/>
        <v>P S V</v>
      </c>
      <c r="AD18" s="58">
        <f t="shared" si="6"/>
        <v>1</v>
      </c>
      <c r="AE18" s="58">
        <f t="shared" si="7"/>
        <v>0</v>
      </c>
      <c r="AF18" s="58">
        <f t="shared" si="42"/>
        <v>1</v>
      </c>
      <c r="AG18" s="58">
        <f t="shared" si="8"/>
        <v>0</v>
      </c>
      <c r="AH18" s="58">
        <f t="shared" si="9"/>
        <v>1</v>
      </c>
      <c r="AI18" s="58">
        <f t="shared" si="10"/>
        <v>1</v>
      </c>
      <c r="AJ18" s="58">
        <f t="shared" si="43"/>
        <v>0</v>
      </c>
      <c r="AK18" s="58">
        <f t="shared" si="44"/>
        <v>1</v>
      </c>
      <c r="AL18" s="58"/>
      <c r="AM18" s="57">
        <v>13</v>
      </c>
      <c r="AN18" s="58" t="str">
        <f t="shared" si="11"/>
        <v>P S V</v>
      </c>
      <c r="AO18" s="58">
        <f t="shared" si="12"/>
        <v>1</v>
      </c>
      <c r="AP18" s="58">
        <f t="shared" si="13"/>
        <v>0</v>
      </c>
      <c r="AQ18" s="58">
        <f t="shared" si="45"/>
        <v>0</v>
      </c>
      <c r="AR18" s="58">
        <f t="shared" si="14"/>
        <v>1</v>
      </c>
      <c r="AS18" s="58">
        <f t="shared" si="15"/>
        <v>0</v>
      </c>
      <c r="AT18" s="58">
        <f t="shared" si="16"/>
        <v>2</v>
      </c>
      <c r="AU18" s="58">
        <f t="shared" si="46"/>
        <v>-2</v>
      </c>
      <c r="AV18" s="58">
        <f t="shared" si="47"/>
        <v>0</v>
      </c>
      <c r="AW18" s="58"/>
      <c r="AX18" s="57">
        <v>13</v>
      </c>
      <c r="AY18" s="58">
        <f t="shared" si="17"/>
        <v>0</v>
      </c>
      <c r="AZ18" s="58">
        <f t="shared" si="18"/>
        <v>0</v>
      </c>
      <c r="BA18" s="58">
        <f t="shared" si="19"/>
        <v>0</v>
      </c>
      <c r="BB18" s="58">
        <f t="shared" si="48"/>
        <v>0</v>
      </c>
      <c r="BC18" s="58">
        <f t="shared" si="20"/>
        <v>0</v>
      </c>
      <c r="BD18" s="58">
        <f t="shared" si="21"/>
        <v>0</v>
      </c>
      <c r="BE18" s="58">
        <f t="shared" si="22"/>
        <v>0</v>
      </c>
      <c r="BF18" s="58">
        <f t="shared" si="49"/>
        <v>0</v>
      </c>
      <c r="BG18" s="58">
        <f t="shared" si="50"/>
        <v>0</v>
      </c>
      <c r="BH18" s="47"/>
      <c r="BI18" s="47"/>
      <c r="BJ18" s="57">
        <v>13</v>
      </c>
      <c r="BK18" s="58">
        <f t="shared" si="23"/>
        <v>0</v>
      </c>
      <c r="BL18" s="58">
        <f t="shared" si="24"/>
        <v>0</v>
      </c>
      <c r="BM18" s="58">
        <f t="shared" si="25"/>
        <v>0</v>
      </c>
      <c r="BN18" s="58">
        <f t="shared" si="51"/>
        <v>0</v>
      </c>
      <c r="BO18" s="58">
        <f t="shared" si="26"/>
        <v>0</v>
      </c>
      <c r="BP18" s="58">
        <f t="shared" si="27"/>
        <v>0</v>
      </c>
      <c r="BQ18" s="58">
        <f t="shared" si="28"/>
        <v>0</v>
      </c>
      <c r="BR18" s="58">
        <f t="shared" si="52"/>
        <v>0</v>
      </c>
      <c r="BS18" s="58">
        <f t="shared" si="53"/>
        <v>0</v>
      </c>
      <c r="BT18" s="47"/>
      <c r="BU18" s="47"/>
      <c r="BV18" s="47"/>
      <c r="BW18" s="47"/>
      <c r="BX18" s="47"/>
      <c r="BY18" s="62"/>
      <c r="BZ18" s="51">
        <v>13</v>
      </c>
      <c r="CA18" s="51" t="str">
        <f t="shared" si="54"/>
        <v>P S V</v>
      </c>
      <c r="CB18" s="51">
        <f t="shared" si="55"/>
        <v>12</v>
      </c>
      <c r="CC18" s="51">
        <f t="shared" si="29"/>
        <v>6</v>
      </c>
      <c r="CD18" s="51">
        <f t="shared" si="30"/>
        <v>2</v>
      </c>
      <c r="CE18" s="51">
        <f t="shared" si="31"/>
        <v>4</v>
      </c>
      <c r="CF18" s="51">
        <f t="shared" si="32"/>
        <v>13</v>
      </c>
      <c r="CG18" s="51">
        <f t="shared" si="33"/>
        <v>12</v>
      </c>
      <c r="CH18" s="51">
        <f t="shared" si="34"/>
        <v>1</v>
      </c>
      <c r="CI18" s="51">
        <f t="shared" si="35"/>
        <v>20</v>
      </c>
      <c r="CJ18" s="47"/>
      <c r="CK18" s="61"/>
      <c r="CL18" s="42">
        <f t="shared" si="56"/>
        <v>200651131200</v>
      </c>
      <c r="CM18" s="43"/>
      <c r="CN18" s="63">
        <v>13</v>
      </c>
      <c r="CO18" s="42">
        <f t="shared" si="36"/>
        <v>110245081098</v>
      </c>
      <c r="CP18" s="43"/>
      <c r="CQ18" s="65">
        <v>13</v>
      </c>
      <c r="CR18" s="42">
        <f t="shared" si="37"/>
        <v>15</v>
      </c>
      <c r="CS18" s="63"/>
    </row>
    <row r="19" spans="2:97" ht="21" customHeight="1" x14ac:dyDescent="0.25">
      <c r="B19" s="71" t="s">
        <v>44</v>
      </c>
      <c r="C19" s="51" t="str">
        <f t="shared" si="38"/>
        <v>Real Sociedad</v>
      </c>
      <c r="D19" s="71">
        <f t="shared" si="0"/>
        <v>11</v>
      </c>
      <c r="E19" s="71">
        <f t="shared" si="1"/>
        <v>2</v>
      </c>
      <c r="F19" s="71">
        <f t="shared" si="39"/>
        <v>3</v>
      </c>
      <c r="G19" s="71">
        <f t="shared" si="2"/>
        <v>6</v>
      </c>
      <c r="H19" s="71">
        <f t="shared" si="3"/>
        <v>8</v>
      </c>
      <c r="I19" s="71">
        <f t="shared" si="4"/>
        <v>15</v>
      </c>
      <c r="J19" s="71">
        <f t="shared" si="40"/>
        <v>-7</v>
      </c>
      <c r="K19" s="71">
        <f t="shared" si="41"/>
        <v>9</v>
      </c>
      <c r="L19" s="62"/>
      <c r="M19" s="62"/>
      <c r="N19" s="62"/>
      <c r="O19" s="62"/>
      <c r="P19" s="51">
        <f>Classificação!Y27</f>
        <v>14</v>
      </c>
      <c r="Q19" s="51" t="str">
        <f>Classificação!P27</f>
        <v>Crystal Palace</v>
      </c>
      <c r="R19" s="51">
        <f>Classificação!Q27</f>
        <v>10</v>
      </c>
      <c r="S19" s="51">
        <f>Classificação!R27</f>
        <v>5</v>
      </c>
      <c r="T19" s="51">
        <f>Classificação!S27</f>
        <v>4</v>
      </c>
      <c r="U19" s="51">
        <f>Classificação!T27</f>
        <v>1</v>
      </c>
      <c r="V19" s="51">
        <f>Classificação!U27</f>
        <v>7</v>
      </c>
      <c r="W19" s="51">
        <f>Classificação!V27</f>
        <v>3</v>
      </c>
      <c r="X19" s="51">
        <f>Classificação!W27</f>
        <v>4</v>
      </c>
      <c r="Y19" s="51">
        <f>Classificação!X27</f>
        <v>19</v>
      </c>
      <c r="Z19" s="47">
        <v>240555171699</v>
      </c>
      <c r="AA19" s="47"/>
      <c r="AB19" s="57">
        <v>14</v>
      </c>
      <c r="AC19" s="58" t="str">
        <f t="shared" si="5"/>
        <v>Crystal Palace</v>
      </c>
      <c r="AD19" s="58">
        <f t="shared" si="6"/>
        <v>1</v>
      </c>
      <c r="AE19" s="58">
        <f t="shared" si="7"/>
        <v>0</v>
      </c>
      <c r="AF19" s="58">
        <f t="shared" si="42"/>
        <v>0</v>
      </c>
      <c r="AG19" s="58">
        <f t="shared" si="8"/>
        <v>1</v>
      </c>
      <c r="AH19" s="58">
        <f t="shared" si="9"/>
        <v>0</v>
      </c>
      <c r="AI19" s="58">
        <f t="shared" si="10"/>
        <v>2</v>
      </c>
      <c r="AJ19" s="58">
        <f t="shared" si="43"/>
        <v>-2</v>
      </c>
      <c r="AK19" s="58">
        <f t="shared" si="44"/>
        <v>0</v>
      </c>
      <c r="AL19" s="58"/>
      <c r="AM19" s="57">
        <v>14</v>
      </c>
      <c r="AN19" s="58">
        <f t="shared" si="11"/>
        <v>0</v>
      </c>
      <c r="AO19" s="58">
        <f t="shared" si="12"/>
        <v>0</v>
      </c>
      <c r="AP19" s="58">
        <f t="shared" si="13"/>
        <v>0</v>
      </c>
      <c r="AQ19" s="58">
        <f t="shared" si="45"/>
        <v>0</v>
      </c>
      <c r="AR19" s="58">
        <f t="shared" si="14"/>
        <v>0</v>
      </c>
      <c r="AS19" s="58">
        <f t="shared" si="15"/>
        <v>0</v>
      </c>
      <c r="AT19" s="58">
        <f t="shared" si="16"/>
        <v>0</v>
      </c>
      <c r="AU19" s="58">
        <f t="shared" si="46"/>
        <v>0</v>
      </c>
      <c r="AV19" s="58">
        <f t="shared" si="47"/>
        <v>0</v>
      </c>
      <c r="AW19" s="58"/>
      <c r="AX19" s="57">
        <v>14</v>
      </c>
      <c r="AY19" s="58">
        <f t="shared" si="17"/>
        <v>0</v>
      </c>
      <c r="AZ19" s="58">
        <f t="shared" si="18"/>
        <v>0</v>
      </c>
      <c r="BA19" s="58">
        <f t="shared" si="19"/>
        <v>0</v>
      </c>
      <c r="BB19" s="58">
        <f t="shared" si="48"/>
        <v>0</v>
      </c>
      <c r="BC19" s="58">
        <f t="shared" si="20"/>
        <v>0</v>
      </c>
      <c r="BD19" s="58">
        <f t="shared" si="21"/>
        <v>0</v>
      </c>
      <c r="BE19" s="58">
        <f t="shared" si="22"/>
        <v>0</v>
      </c>
      <c r="BF19" s="58">
        <f t="shared" si="49"/>
        <v>0</v>
      </c>
      <c r="BG19" s="58">
        <f t="shared" si="50"/>
        <v>0</v>
      </c>
      <c r="BH19" s="47"/>
      <c r="BI19" s="47"/>
      <c r="BJ19" s="57">
        <v>14</v>
      </c>
      <c r="BK19" s="58">
        <f t="shared" si="23"/>
        <v>0</v>
      </c>
      <c r="BL19" s="58">
        <f t="shared" si="24"/>
        <v>0</v>
      </c>
      <c r="BM19" s="58">
        <f t="shared" si="25"/>
        <v>0</v>
      </c>
      <c r="BN19" s="58">
        <f t="shared" si="51"/>
        <v>0</v>
      </c>
      <c r="BO19" s="58">
        <f t="shared" si="26"/>
        <v>0</v>
      </c>
      <c r="BP19" s="58">
        <f t="shared" si="27"/>
        <v>0</v>
      </c>
      <c r="BQ19" s="58">
        <f t="shared" si="28"/>
        <v>0</v>
      </c>
      <c r="BR19" s="58">
        <f t="shared" si="52"/>
        <v>0</v>
      </c>
      <c r="BS19" s="58">
        <f t="shared" si="53"/>
        <v>0</v>
      </c>
      <c r="BT19" s="47"/>
      <c r="BU19" s="47"/>
      <c r="BV19" s="47"/>
      <c r="BW19" s="47"/>
      <c r="BX19" s="47"/>
      <c r="BY19" s="62"/>
      <c r="BZ19" s="51">
        <v>14</v>
      </c>
      <c r="CA19" s="51" t="str">
        <f t="shared" si="54"/>
        <v>Crystal Palace</v>
      </c>
      <c r="CB19" s="51">
        <f t="shared" si="55"/>
        <v>11</v>
      </c>
      <c r="CC19" s="51">
        <f t="shared" si="29"/>
        <v>5</v>
      </c>
      <c r="CD19" s="51">
        <f t="shared" si="30"/>
        <v>4</v>
      </c>
      <c r="CE19" s="51">
        <f t="shared" si="31"/>
        <v>2</v>
      </c>
      <c r="CF19" s="51">
        <f t="shared" si="32"/>
        <v>7</v>
      </c>
      <c r="CG19" s="51">
        <f t="shared" si="33"/>
        <v>5</v>
      </c>
      <c r="CH19" s="51">
        <f t="shared" si="34"/>
        <v>2</v>
      </c>
      <c r="CI19" s="51">
        <f t="shared" si="35"/>
        <v>19</v>
      </c>
      <c r="CJ19" s="47"/>
      <c r="CK19" s="61"/>
      <c r="CL19" s="42">
        <f t="shared" si="56"/>
        <v>190552071099</v>
      </c>
      <c r="CM19" s="43"/>
      <c r="CN19" s="63">
        <v>14</v>
      </c>
      <c r="CO19" s="42">
        <f t="shared" si="36"/>
        <v>90243081110</v>
      </c>
      <c r="CP19" s="43"/>
      <c r="CQ19" s="65">
        <v>14</v>
      </c>
      <c r="CR19" s="42">
        <f t="shared" si="37"/>
        <v>3</v>
      </c>
      <c r="CS19" s="63"/>
    </row>
    <row r="20" spans="2:97" ht="21" customHeight="1" x14ac:dyDescent="0.25">
      <c r="B20" s="56" t="s">
        <v>45</v>
      </c>
      <c r="C20" s="56" t="str">
        <f t="shared" si="38"/>
        <v>Real Betis</v>
      </c>
      <c r="D20" s="56">
        <f t="shared" si="0"/>
        <v>10</v>
      </c>
      <c r="E20" s="56">
        <f t="shared" si="1"/>
        <v>1</v>
      </c>
      <c r="F20" s="56">
        <f t="shared" si="39"/>
        <v>5</v>
      </c>
      <c r="G20" s="56">
        <f t="shared" si="2"/>
        <v>4</v>
      </c>
      <c r="H20" s="56">
        <f t="shared" si="3"/>
        <v>9</v>
      </c>
      <c r="I20" s="56">
        <f t="shared" si="4"/>
        <v>11</v>
      </c>
      <c r="J20" s="56">
        <f t="shared" si="40"/>
        <v>-2</v>
      </c>
      <c r="K20" s="56">
        <f t="shared" si="41"/>
        <v>8</v>
      </c>
      <c r="L20" s="62"/>
      <c r="M20" s="62"/>
      <c r="N20" s="62"/>
      <c r="O20" s="62"/>
      <c r="P20" s="51">
        <f>Classificação!Y28</f>
        <v>15</v>
      </c>
      <c r="Q20" s="51" t="str">
        <f>Classificação!P28</f>
        <v>Borussia M</v>
      </c>
      <c r="R20" s="51">
        <f>Classificação!Q28</f>
        <v>10</v>
      </c>
      <c r="S20" s="51">
        <f>Classificação!R28</f>
        <v>2</v>
      </c>
      <c r="T20" s="51">
        <f>Classificação!S28</f>
        <v>5</v>
      </c>
      <c r="U20" s="51">
        <f>Classificação!T28</f>
        <v>3</v>
      </c>
      <c r="V20" s="51">
        <f>Classificação!U28</f>
        <v>8</v>
      </c>
      <c r="W20" s="51">
        <f>Classificação!V28</f>
        <v>10</v>
      </c>
      <c r="X20" s="51">
        <f>Classificação!W28</f>
        <v>-2</v>
      </c>
      <c r="Y20" s="51">
        <f>Classificação!X28</f>
        <v>11</v>
      </c>
      <c r="Z20" s="47">
        <v>210549151698</v>
      </c>
      <c r="AA20" s="47"/>
      <c r="AB20" s="57">
        <v>15</v>
      </c>
      <c r="AC20" s="58" t="str">
        <f t="shared" si="5"/>
        <v>Borussia M</v>
      </c>
      <c r="AD20" s="58">
        <f t="shared" si="6"/>
        <v>1</v>
      </c>
      <c r="AE20" s="58">
        <f t="shared" si="7"/>
        <v>0</v>
      </c>
      <c r="AF20" s="58">
        <f t="shared" si="42"/>
        <v>0</v>
      </c>
      <c r="AG20" s="58">
        <f t="shared" si="8"/>
        <v>1</v>
      </c>
      <c r="AH20" s="58">
        <f t="shared" si="9"/>
        <v>0</v>
      </c>
      <c r="AI20" s="58">
        <f t="shared" si="10"/>
        <v>3</v>
      </c>
      <c r="AJ20" s="58">
        <f t="shared" si="43"/>
        <v>-3</v>
      </c>
      <c r="AK20" s="58">
        <f t="shared" si="44"/>
        <v>0</v>
      </c>
      <c r="AL20" s="58"/>
      <c r="AM20" s="57">
        <v>15</v>
      </c>
      <c r="AN20" s="58">
        <f t="shared" si="11"/>
        <v>0</v>
      </c>
      <c r="AO20" s="58">
        <f t="shared" si="12"/>
        <v>0</v>
      </c>
      <c r="AP20" s="58">
        <f t="shared" si="13"/>
        <v>0</v>
      </c>
      <c r="AQ20" s="58">
        <f t="shared" si="45"/>
        <v>0</v>
      </c>
      <c r="AR20" s="58">
        <f t="shared" si="14"/>
        <v>0</v>
      </c>
      <c r="AS20" s="58">
        <f t="shared" si="15"/>
        <v>0</v>
      </c>
      <c r="AT20" s="58">
        <f t="shared" si="16"/>
        <v>0</v>
      </c>
      <c r="AU20" s="58">
        <f t="shared" si="46"/>
        <v>0</v>
      </c>
      <c r="AV20" s="58">
        <f t="shared" si="47"/>
        <v>0</v>
      </c>
      <c r="AW20" s="58"/>
      <c r="AX20" s="57">
        <v>15</v>
      </c>
      <c r="AY20" s="58">
        <f t="shared" si="17"/>
        <v>0</v>
      </c>
      <c r="AZ20" s="58">
        <f t="shared" si="18"/>
        <v>0</v>
      </c>
      <c r="BA20" s="58">
        <f t="shared" si="19"/>
        <v>0</v>
      </c>
      <c r="BB20" s="58">
        <f t="shared" si="48"/>
        <v>0</v>
      </c>
      <c r="BC20" s="58">
        <f t="shared" si="20"/>
        <v>0</v>
      </c>
      <c r="BD20" s="58">
        <f t="shared" si="21"/>
        <v>0</v>
      </c>
      <c r="BE20" s="58">
        <f t="shared" si="22"/>
        <v>0</v>
      </c>
      <c r="BF20" s="58">
        <f t="shared" si="49"/>
        <v>0</v>
      </c>
      <c r="BG20" s="58">
        <f t="shared" si="50"/>
        <v>0</v>
      </c>
      <c r="BH20" s="47"/>
      <c r="BI20" s="47"/>
      <c r="BJ20" s="57">
        <v>15</v>
      </c>
      <c r="BK20" s="58">
        <f t="shared" si="23"/>
        <v>0</v>
      </c>
      <c r="BL20" s="58">
        <f t="shared" si="24"/>
        <v>0</v>
      </c>
      <c r="BM20" s="58">
        <f t="shared" si="25"/>
        <v>0</v>
      </c>
      <c r="BN20" s="58">
        <f t="shared" si="51"/>
        <v>0</v>
      </c>
      <c r="BO20" s="58">
        <f t="shared" si="26"/>
        <v>0</v>
      </c>
      <c r="BP20" s="58">
        <f t="shared" si="27"/>
        <v>0</v>
      </c>
      <c r="BQ20" s="58">
        <f t="shared" si="28"/>
        <v>0</v>
      </c>
      <c r="BR20" s="58">
        <f t="shared" si="52"/>
        <v>0</v>
      </c>
      <c r="BS20" s="58">
        <f t="shared" si="53"/>
        <v>0</v>
      </c>
      <c r="BT20" s="47"/>
      <c r="BU20" s="47"/>
      <c r="BV20" s="47"/>
      <c r="BW20" s="47"/>
      <c r="BX20" s="47"/>
      <c r="BY20" s="62"/>
      <c r="BZ20" s="51">
        <v>15</v>
      </c>
      <c r="CA20" s="51" t="str">
        <f t="shared" si="54"/>
        <v>Borussia M</v>
      </c>
      <c r="CB20" s="51">
        <f t="shared" si="55"/>
        <v>11</v>
      </c>
      <c r="CC20" s="51">
        <f t="shared" si="29"/>
        <v>2</v>
      </c>
      <c r="CD20" s="51">
        <f t="shared" si="30"/>
        <v>5</v>
      </c>
      <c r="CE20" s="51">
        <f t="shared" si="31"/>
        <v>4</v>
      </c>
      <c r="CF20" s="51">
        <f t="shared" si="32"/>
        <v>8</v>
      </c>
      <c r="CG20" s="51">
        <f t="shared" si="33"/>
        <v>13</v>
      </c>
      <c r="CH20" s="51">
        <f t="shared" si="34"/>
        <v>-5</v>
      </c>
      <c r="CI20" s="51">
        <f t="shared" si="35"/>
        <v>11</v>
      </c>
      <c r="CJ20" s="47"/>
      <c r="CK20" s="61"/>
      <c r="CL20" s="42">
        <f t="shared" si="56"/>
        <v>110245081098</v>
      </c>
      <c r="CM20" s="43"/>
      <c r="CN20" s="63">
        <v>15</v>
      </c>
      <c r="CO20" s="42">
        <f t="shared" si="36"/>
        <v>80148090995</v>
      </c>
      <c r="CP20" s="43"/>
      <c r="CQ20" s="65">
        <v>15</v>
      </c>
      <c r="CR20" s="42">
        <f t="shared" si="37"/>
        <v>18</v>
      </c>
      <c r="CS20" s="63"/>
    </row>
    <row r="21" spans="2:97" ht="21" customHeight="1" x14ac:dyDescent="0.25">
      <c r="B21" s="71" t="s">
        <v>46</v>
      </c>
      <c r="C21" s="51" t="str">
        <f t="shared" si="38"/>
        <v>West Ham</v>
      </c>
      <c r="D21" s="71">
        <f t="shared" si="0"/>
        <v>11</v>
      </c>
      <c r="E21" s="71">
        <f t="shared" si="1"/>
        <v>1</v>
      </c>
      <c r="F21" s="71">
        <f t="shared" si="39"/>
        <v>5</v>
      </c>
      <c r="G21" s="71">
        <f t="shared" si="2"/>
        <v>5</v>
      </c>
      <c r="H21" s="71">
        <f t="shared" si="3"/>
        <v>10</v>
      </c>
      <c r="I21" s="71">
        <f t="shared" si="4"/>
        <v>15</v>
      </c>
      <c r="J21" s="71">
        <f t="shared" si="40"/>
        <v>-5</v>
      </c>
      <c r="K21" s="71">
        <f t="shared" si="41"/>
        <v>8</v>
      </c>
      <c r="L21" s="62"/>
      <c r="M21" s="62"/>
      <c r="N21" s="62"/>
      <c r="O21" s="62"/>
      <c r="P21" s="51">
        <f>Classificação!Y29</f>
        <v>16</v>
      </c>
      <c r="Q21" s="51" t="str">
        <f>Classificação!P29</f>
        <v>Villarreal</v>
      </c>
      <c r="R21" s="51">
        <f>Classificação!Q29</f>
        <v>10</v>
      </c>
      <c r="S21" s="51">
        <f>Classificação!R29</f>
        <v>4</v>
      </c>
      <c r="T21" s="51">
        <f>Classificação!S29</f>
        <v>3</v>
      </c>
      <c r="U21" s="51">
        <f>Classificação!T29</f>
        <v>3</v>
      </c>
      <c r="V21" s="51">
        <f>Classificação!U29</f>
        <v>9</v>
      </c>
      <c r="W21" s="51">
        <f>Classificação!V29</f>
        <v>9</v>
      </c>
      <c r="X21" s="51">
        <f>Classificação!W29</f>
        <v>0</v>
      </c>
      <c r="Y21" s="51">
        <f>Classificação!X29</f>
        <v>15</v>
      </c>
      <c r="Z21" s="47">
        <v>381268281697</v>
      </c>
      <c r="AA21" s="47"/>
      <c r="AB21" s="57">
        <v>16</v>
      </c>
      <c r="AC21" s="58" t="str">
        <f t="shared" si="5"/>
        <v>Villarreal</v>
      </c>
      <c r="AD21" s="58">
        <f t="shared" si="6"/>
        <v>1</v>
      </c>
      <c r="AE21" s="58">
        <f t="shared" si="7"/>
        <v>0</v>
      </c>
      <c r="AF21" s="58">
        <f t="shared" si="42"/>
        <v>0</v>
      </c>
      <c r="AG21" s="58">
        <f t="shared" si="8"/>
        <v>1</v>
      </c>
      <c r="AH21" s="58">
        <f t="shared" si="9"/>
        <v>0</v>
      </c>
      <c r="AI21" s="58">
        <f t="shared" si="10"/>
        <v>2</v>
      </c>
      <c r="AJ21" s="58">
        <f t="shared" si="43"/>
        <v>-2</v>
      </c>
      <c r="AK21" s="58">
        <f t="shared" si="44"/>
        <v>0</v>
      </c>
      <c r="AL21" s="58"/>
      <c r="AM21" s="57">
        <v>16</v>
      </c>
      <c r="AN21" s="58">
        <f t="shared" si="11"/>
        <v>0</v>
      </c>
      <c r="AO21" s="58">
        <f t="shared" si="12"/>
        <v>0</v>
      </c>
      <c r="AP21" s="58">
        <f t="shared" si="13"/>
        <v>0</v>
      </c>
      <c r="AQ21" s="58">
        <f t="shared" si="45"/>
        <v>0</v>
      </c>
      <c r="AR21" s="58">
        <f t="shared" si="14"/>
        <v>0</v>
      </c>
      <c r="AS21" s="58">
        <f t="shared" si="15"/>
        <v>0</v>
      </c>
      <c r="AT21" s="58">
        <f t="shared" si="16"/>
        <v>0</v>
      </c>
      <c r="AU21" s="58">
        <f t="shared" si="46"/>
        <v>0</v>
      </c>
      <c r="AV21" s="58">
        <f t="shared" si="47"/>
        <v>0</v>
      </c>
      <c r="AW21" s="58"/>
      <c r="AX21" s="57">
        <v>16</v>
      </c>
      <c r="AY21" s="58">
        <f t="shared" si="17"/>
        <v>0</v>
      </c>
      <c r="AZ21" s="58">
        <f t="shared" si="18"/>
        <v>0</v>
      </c>
      <c r="BA21" s="58">
        <f t="shared" si="19"/>
        <v>0</v>
      </c>
      <c r="BB21" s="58">
        <f t="shared" si="48"/>
        <v>0</v>
      </c>
      <c r="BC21" s="58">
        <f t="shared" si="20"/>
        <v>0</v>
      </c>
      <c r="BD21" s="58">
        <f t="shared" si="21"/>
        <v>0</v>
      </c>
      <c r="BE21" s="58">
        <f t="shared" si="22"/>
        <v>0</v>
      </c>
      <c r="BF21" s="58">
        <f t="shared" si="49"/>
        <v>0</v>
      </c>
      <c r="BG21" s="58">
        <f t="shared" si="50"/>
        <v>0</v>
      </c>
      <c r="BH21" s="47"/>
      <c r="BI21" s="47"/>
      <c r="BJ21" s="57">
        <v>16</v>
      </c>
      <c r="BK21" s="58">
        <f t="shared" si="23"/>
        <v>0</v>
      </c>
      <c r="BL21" s="58">
        <f t="shared" si="24"/>
        <v>0</v>
      </c>
      <c r="BM21" s="58">
        <f t="shared" si="25"/>
        <v>0</v>
      </c>
      <c r="BN21" s="58">
        <f t="shared" si="51"/>
        <v>0</v>
      </c>
      <c r="BO21" s="58">
        <f t="shared" si="26"/>
        <v>0</v>
      </c>
      <c r="BP21" s="58">
        <f t="shared" si="27"/>
        <v>0</v>
      </c>
      <c r="BQ21" s="58">
        <f t="shared" si="28"/>
        <v>0</v>
      </c>
      <c r="BR21" s="58">
        <f t="shared" si="52"/>
        <v>0</v>
      </c>
      <c r="BS21" s="58">
        <f t="shared" si="53"/>
        <v>0</v>
      </c>
      <c r="BT21" s="47"/>
      <c r="BU21" s="47"/>
      <c r="BV21" s="47"/>
      <c r="BW21" s="47"/>
      <c r="BX21" s="47"/>
      <c r="BY21" s="62"/>
      <c r="BZ21" s="51">
        <v>16</v>
      </c>
      <c r="CA21" s="51" t="str">
        <f t="shared" si="54"/>
        <v>Villarreal</v>
      </c>
      <c r="CB21" s="51">
        <f t="shared" si="55"/>
        <v>11</v>
      </c>
      <c r="CC21" s="51">
        <f t="shared" si="29"/>
        <v>4</v>
      </c>
      <c r="CD21" s="51">
        <f t="shared" si="30"/>
        <v>3</v>
      </c>
      <c r="CE21" s="51">
        <f t="shared" si="31"/>
        <v>4</v>
      </c>
      <c r="CF21" s="51">
        <f t="shared" si="32"/>
        <v>9</v>
      </c>
      <c r="CG21" s="51">
        <f t="shared" si="33"/>
        <v>11</v>
      </c>
      <c r="CH21" s="51">
        <f t="shared" si="34"/>
        <v>-2</v>
      </c>
      <c r="CI21" s="51">
        <f t="shared" si="35"/>
        <v>15</v>
      </c>
      <c r="CJ21" s="47"/>
      <c r="CK21" s="61"/>
      <c r="CL21" s="42">
        <f t="shared" si="56"/>
        <v>150448091097</v>
      </c>
      <c r="CM21" s="43"/>
      <c r="CN21" s="63">
        <v>16</v>
      </c>
      <c r="CO21" s="42">
        <f t="shared" si="36"/>
        <v>80145101103</v>
      </c>
      <c r="CP21" s="43"/>
      <c r="CQ21" s="65">
        <v>16</v>
      </c>
      <c r="CR21" s="42">
        <f t="shared" si="37"/>
        <v>10</v>
      </c>
      <c r="CS21" s="63"/>
    </row>
    <row r="22" spans="2:97" ht="21" customHeight="1" x14ac:dyDescent="0.25">
      <c r="B22" s="56" t="s">
        <v>47</v>
      </c>
      <c r="C22" s="56" t="str">
        <f t="shared" si="38"/>
        <v>Olympique</v>
      </c>
      <c r="D22" s="56">
        <f t="shared" si="0"/>
        <v>11</v>
      </c>
      <c r="E22" s="56">
        <f t="shared" si="1"/>
        <v>2</v>
      </c>
      <c r="F22" s="56">
        <f t="shared" si="39"/>
        <v>1</v>
      </c>
      <c r="G22" s="56">
        <f t="shared" si="2"/>
        <v>8</v>
      </c>
      <c r="H22" s="56">
        <f t="shared" si="3"/>
        <v>3</v>
      </c>
      <c r="I22" s="56">
        <f t="shared" si="4"/>
        <v>15</v>
      </c>
      <c r="J22" s="56">
        <f t="shared" si="40"/>
        <v>-12</v>
      </c>
      <c r="K22" s="56">
        <f t="shared" si="41"/>
        <v>7</v>
      </c>
      <c r="L22" s="62"/>
      <c r="M22" s="62"/>
      <c r="N22" s="62"/>
      <c r="O22" s="62"/>
      <c r="P22" s="51">
        <f>Classificação!Y30</f>
        <v>17</v>
      </c>
      <c r="Q22" s="51" t="str">
        <f>Classificação!P30</f>
        <v>R B Leipzig</v>
      </c>
      <c r="R22" s="51">
        <f>Classificação!Q30</f>
        <v>10</v>
      </c>
      <c r="S22" s="51">
        <f>Classificação!R30</f>
        <v>4</v>
      </c>
      <c r="T22" s="51">
        <f>Classificação!S30</f>
        <v>3</v>
      </c>
      <c r="U22" s="51">
        <f>Classificação!T30</f>
        <v>3</v>
      </c>
      <c r="V22" s="51">
        <f>Classificação!U30</f>
        <v>12</v>
      </c>
      <c r="W22" s="51">
        <f>Classificação!V30</f>
        <v>15</v>
      </c>
      <c r="X22" s="51">
        <f>Classificação!W30</f>
        <v>-3</v>
      </c>
      <c r="Y22" s="51">
        <f>Classificação!X30</f>
        <v>15</v>
      </c>
      <c r="Z22" s="47">
        <v>320964181696</v>
      </c>
      <c r="AA22" s="47"/>
      <c r="AB22" s="57">
        <v>17</v>
      </c>
      <c r="AC22" s="58" t="str">
        <f t="shared" si="5"/>
        <v>R B Leipzig</v>
      </c>
      <c r="AD22" s="58">
        <f t="shared" si="6"/>
        <v>1</v>
      </c>
      <c r="AE22" s="58">
        <f t="shared" si="7"/>
        <v>1</v>
      </c>
      <c r="AF22" s="58">
        <f t="shared" si="42"/>
        <v>0</v>
      </c>
      <c r="AG22" s="58">
        <f t="shared" si="8"/>
        <v>0</v>
      </c>
      <c r="AH22" s="58">
        <f t="shared" si="9"/>
        <v>2</v>
      </c>
      <c r="AI22" s="58">
        <f t="shared" si="10"/>
        <v>0</v>
      </c>
      <c r="AJ22" s="58">
        <f t="shared" si="43"/>
        <v>2</v>
      </c>
      <c r="AK22" s="58">
        <f t="shared" si="44"/>
        <v>3</v>
      </c>
      <c r="AL22" s="58"/>
      <c r="AM22" s="57">
        <v>17</v>
      </c>
      <c r="AN22" s="58" t="str">
        <f t="shared" si="11"/>
        <v>R B Leipzig</v>
      </c>
      <c r="AO22" s="58">
        <f t="shared" si="12"/>
        <v>1</v>
      </c>
      <c r="AP22" s="58">
        <f t="shared" si="13"/>
        <v>0</v>
      </c>
      <c r="AQ22" s="58">
        <f t="shared" si="45"/>
        <v>0</v>
      </c>
      <c r="AR22" s="58">
        <f t="shared" si="14"/>
        <v>1</v>
      </c>
      <c r="AS22" s="58">
        <f t="shared" si="15"/>
        <v>0</v>
      </c>
      <c r="AT22" s="58">
        <f t="shared" si="16"/>
        <v>2</v>
      </c>
      <c r="AU22" s="58">
        <f t="shared" si="46"/>
        <v>-2</v>
      </c>
      <c r="AV22" s="58">
        <f t="shared" si="47"/>
        <v>0</v>
      </c>
      <c r="AW22" s="58"/>
      <c r="AX22" s="57">
        <v>17</v>
      </c>
      <c r="AY22" s="58">
        <f t="shared" si="17"/>
        <v>0</v>
      </c>
      <c r="AZ22" s="58">
        <f t="shared" si="18"/>
        <v>0</v>
      </c>
      <c r="BA22" s="58">
        <f t="shared" si="19"/>
        <v>0</v>
      </c>
      <c r="BB22" s="58">
        <f t="shared" si="48"/>
        <v>0</v>
      </c>
      <c r="BC22" s="58">
        <f t="shared" si="20"/>
        <v>0</v>
      </c>
      <c r="BD22" s="58">
        <f t="shared" si="21"/>
        <v>0</v>
      </c>
      <c r="BE22" s="58">
        <f t="shared" si="22"/>
        <v>0</v>
      </c>
      <c r="BF22" s="58">
        <f t="shared" si="49"/>
        <v>0</v>
      </c>
      <c r="BG22" s="58">
        <f t="shared" si="50"/>
        <v>0</v>
      </c>
      <c r="BH22" s="47"/>
      <c r="BI22" s="47"/>
      <c r="BJ22" s="57">
        <v>17</v>
      </c>
      <c r="BK22" s="58">
        <f t="shared" si="23"/>
        <v>0</v>
      </c>
      <c r="BL22" s="58">
        <f t="shared" si="24"/>
        <v>0</v>
      </c>
      <c r="BM22" s="58">
        <f t="shared" si="25"/>
        <v>0</v>
      </c>
      <c r="BN22" s="58">
        <f t="shared" si="51"/>
        <v>0</v>
      </c>
      <c r="BO22" s="58">
        <f t="shared" si="26"/>
        <v>0</v>
      </c>
      <c r="BP22" s="58">
        <f t="shared" si="27"/>
        <v>0</v>
      </c>
      <c r="BQ22" s="58">
        <f t="shared" si="28"/>
        <v>0</v>
      </c>
      <c r="BR22" s="58">
        <f t="shared" si="52"/>
        <v>0</v>
      </c>
      <c r="BS22" s="58">
        <f t="shared" si="53"/>
        <v>0</v>
      </c>
      <c r="BT22" s="47"/>
      <c r="BU22" s="47"/>
      <c r="BV22" s="47"/>
      <c r="BW22" s="47"/>
      <c r="BX22" s="47"/>
      <c r="BY22" s="62"/>
      <c r="BZ22" s="51">
        <v>17</v>
      </c>
      <c r="CA22" s="51" t="str">
        <f t="shared" si="54"/>
        <v>R B Leipzig</v>
      </c>
      <c r="CB22" s="51">
        <f t="shared" si="55"/>
        <v>12</v>
      </c>
      <c r="CC22" s="51">
        <f t="shared" si="29"/>
        <v>5</v>
      </c>
      <c r="CD22" s="51">
        <f t="shared" si="30"/>
        <v>3</v>
      </c>
      <c r="CE22" s="51">
        <f t="shared" si="31"/>
        <v>4</v>
      </c>
      <c r="CF22" s="51">
        <f t="shared" si="32"/>
        <v>14</v>
      </c>
      <c r="CG22" s="51">
        <f t="shared" si="33"/>
        <v>17</v>
      </c>
      <c r="CH22" s="51">
        <f t="shared" si="34"/>
        <v>-3</v>
      </c>
      <c r="CI22" s="51">
        <f t="shared" si="35"/>
        <v>18</v>
      </c>
      <c r="CJ22" s="47"/>
      <c r="CK22" s="61"/>
      <c r="CL22" s="42">
        <f t="shared" si="56"/>
        <v>180547141196</v>
      </c>
      <c r="CM22" s="43"/>
      <c r="CN22" s="63">
        <v>17</v>
      </c>
      <c r="CO22" s="42">
        <f t="shared" si="36"/>
        <v>70238031102</v>
      </c>
      <c r="CP22" s="43"/>
      <c r="CQ22" s="65">
        <v>17</v>
      </c>
      <c r="CR22" s="42">
        <f t="shared" si="37"/>
        <v>11</v>
      </c>
      <c r="CS22" s="63"/>
    </row>
    <row r="23" spans="2:97" ht="21" customHeight="1" x14ac:dyDescent="0.25">
      <c r="B23" s="71" t="s">
        <v>48</v>
      </c>
      <c r="C23" s="51" t="str">
        <f t="shared" si="38"/>
        <v>Monaco</v>
      </c>
      <c r="D23" s="71">
        <f t="shared" si="0"/>
        <v>10</v>
      </c>
      <c r="E23" s="71">
        <f t="shared" si="1"/>
        <v>1</v>
      </c>
      <c r="F23" s="71">
        <f t="shared" si="39"/>
        <v>4</v>
      </c>
      <c r="G23" s="71">
        <f t="shared" si="2"/>
        <v>5</v>
      </c>
      <c r="H23" s="71">
        <f t="shared" si="3"/>
        <v>7</v>
      </c>
      <c r="I23" s="71">
        <f t="shared" si="4"/>
        <v>11</v>
      </c>
      <c r="J23" s="71">
        <f t="shared" si="40"/>
        <v>-4</v>
      </c>
      <c r="K23" s="71">
        <f t="shared" si="41"/>
        <v>7</v>
      </c>
      <c r="L23" s="62"/>
      <c r="M23" s="62"/>
      <c r="N23" s="62"/>
      <c r="O23" s="62"/>
      <c r="P23" s="51">
        <f>Classificação!Y31</f>
        <v>18</v>
      </c>
      <c r="Q23" s="51" t="str">
        <f>Classificação!P31</f>
        <v>Real Betis</v>
      </c>
      <c r="R23" s="51">
        <f>Classificação!Q31</f>
        <v>10</v>
      </c>
      <c r="S23" s="51">
        <f>Classificação!R31</f>
        <v>1</v>
      </c>
      <c r="T23" s="51">
        <f>Classificação!S31</f>
        <v>5</v>
      </c>
      <c r="U23" s="51">
        <f>Classificação!T31</f>
        <v>4</v>
      </c>
      <c r="V23" s="51">
        <f>Classificação!U31</f>
        <v>9</v>
      </c>
      <c r="W23" s="51">
        <f>Classificação!V31</f>
        <v>11</v>
      </c>
      <c r="X23" s="51">
        <f>Classificação!W31</f>
        <v>-2</v>
      </c>
      <c r="Y23" s="51">
        <f>Classificação!X31</f>
        <v>8</v>
      </c>
      <c r="Z23" s="47">
        <v>170445171695</v>
      </c>
      <c r="AA23" s="47"/>
      <c r="AB23" s="57">
        <v>18</v>
      </c>
      <c r="AC23" s="58">
        <f t="shared" si="5"/>
        <v>0</v>
      </c>
      <c r="AD23" s="58">
        <f t="shared" si="6"/>
        <v>0</v>
      </c>
      <c r="AE23" s="58">
        <f t="shared" si="7"/>
        <v>0</v>
      </c>
      <c r="AF23" s="58">
        <f t="shared" si="42"/>
        <v>0</v>
      </c>
      <c r="AG23" s="58">
        <f t="shared" si="8"/>
        <v>0</v>
      </c>
      <c r="AH23" s="58">
        <f t="shared" si="9"/>
        <v>0</v>
      </c>
      <c r="AI23" s="58">
        <f t="shared" si="10"/>
        <v>0</v>
      </c>
      <c r="AJ23" s="58">
        <f t="shared" si="43"/>
        <v>0</v>
      </c>
      <c r="AK23" s="58">
        <f t="shared" si="44"/>
        <v>0</v>
      </c>
      <c r="AL23" s="58"/>
      <c r="AM23" s="57">
        <v>18</v>
      </c>
      <c r="AN23" s="58">
        <f t="shared" si="11"/>
        <v>0</v>
      </c>
      <c r="AO23" s="58">
        <f t="shared" si="12"/>
        <v>0</v>
      </c>
      <c r="AP23" s="58">
        <f t="shared" si="13"/>
        <v>0</v>
      </c>
      <c r="AQ23" s="58">
        <f t="shared" si="45"/>
        <v>0</v>
      </c>
      <c r="AR23" s="58">
        <f t="shared" si="14"/>
        <v>0</v>
      </c>
      <c r="AS23" s="58">
        <f t="shared" si="15"/>
        <v>0</v>
      </c>
      <c r="AT23" s="58">
        <f t="shared" si="16"/>
        <v>0</v>
      </c>
      <c r="AU23" s="58">
        <f t="shared" si="46"/>
        <v>0</v>
      </c>
      <c r="AV23" s="58">
        <f t="shared" si="47"/>
        <v>0</v>
      </c>
      <c r="AW23" s="58"/>
      <c r="AX23" s="57">
        <v>18</v>
      </c>
      <c r="AY23" s="58">
        <f t="shared" si="17"/>
        <v>0</v>
      </c>
      <c r="AZ23" s="58">
        <f t="shared" si="18"/>
        <v>0</v>
      </c>
      <c r="BA23" s="58">
        <f t="shared" si="19"/>
        <v>0</v>
      </c>
      <c r="BB23" s="58">
        <f t="shared" si="48"/>
        <v>0</v>
      </c>
      <c r="BC23" s="58">
        <f t="shared" si="20"/>
        <v>0</v>
      </c>
      <c r="BD23" s="58">
        <f t="shared" si="21"/>
        <v>0</v>
      </c>
      <c r="BE23" s="58">
        <f t="shared" si="22"/>
        <v>0</v>
      </c>
      <c r="BF23" s="58">
        <f t="shared" si="49"/>
        <v>0</v>
      </c>
      <c r="BG23" s="58">
        <f t="shared" si="50"/>
        <v>0</v>
      </c>
      <c r="BH23" s="62"/>
      <c r="BI23" s="62"/>
      <c r="BJ23" s="57">
        <v>18</v>
      </c>
      <c r="BK23" s="58">
        <f t="shared" si="23"/>
        <v>0</v>
      </c>
      <c r="BL23" s="58">
        <f t="shared" si="24"/>
        <v>0</v>
      </c>
      <c r="BM23" s="58">
        <f t="shared" si="25"/>
        <v>0</v>
      </c>
      <c r="BN23" s="58">
        <f t="shared" si="51"/>
        <v>0</v>
      </c>
      <c r="BO23" s="58">
        <f t="shared" si="26"/>
        <v>0</v>
      </c>
      <c r="BP23" s="58">
        <f t="shared" si="27"/>
        <v>0</v>
      </c>
      <c r="BQ23" s="58">
        <f t="shared" si="28"/>
        <v>0</v>
      </c>
      <c r="BR23" s="58">
        <f t="shared" si="52"/>
        <v>0</v>
      </c>
      <c r="BS23" s="58">
        <f t="shared" si="53"/>
        <v>0</v>
      </c>
      <c r="BT23" s="62"/>
      <c r="BU23" s="62"/>
      <c r="BV23" s="62"/>
      <c r="BW23" s="62"/>
      <c r="BX23" s="62"/>
      <c r="BY23" s="62"/>
      <c r="BZ23" s="66">
        <v>18</v>
      </c>
      <c r="CA23" s="51" t="str">
        <f t="shared" si="54"/>
        <v>Real Betis</v>
      </c>
      <c r="CB23" s="51">
        <f t="shared" si="55"/>
        <v>10</v>
      </c>
      <c r="CC23" s="51">
        <f t="shared" si="29"/>
        <v>1</v>
      </c>
      <c r="CD23" s="51">
        <f t="shared" si="30"/>
        <v>5</v>
      </c>
      <c r="CE23" s="51">
        <f t="shared" si="31"/>
        <v>4</v>
      </c>
      <c r="CF23" s="51">
        <f t="shared" si="32"/>
        <v>9</v>
      </c>
      <c r="CG23" s="51">
        <f t="shared" si="33"/>
        <v>11</v>
      </c>
      <c r="CH23" s="51">
        <f t="shared" si="34"/>
        <v>-2</v>
      </c>
      <c r="CI23" s="51">
        <f t="shared" si="35"/>
        <v>8</v>
      </c>
      <c r="CJ23" s="172"/>
      <c r="CK23" s="63"/>
      <c r="CL23" s="42">
        <f t="shared" si="56"/>
        <v>80148090995</v>
      </c>
      <c r="CM23" s="63"/>
      <c r="CN23" s="63">
        <v>18</v>
      </c>
      <c r="CO23" s="42">
        <f t="shared" si="36"/>
        <v>70146071005</v>
      </c>
      <c r="CP23" s="63"/>
      <c r="CQ23" s="65">
        <v>18</v>
      </c>
      <c r="CR23" s="42">
        <f t="shared" si="37"/>
        <v>8</v>
      </c>
      <c r="CS23" s="63"/>
    </row>
    <row r="24" spans="2:97" ht="21" customHeight="1" x14ac:dyDescent="0.25">
      <c r="B24" s="120" t="s">
        <v>87</v>
      </c>
      <c r="C24" s="56" t="str">
        <f t="shared" si="38"/>
        <v>Athl. De Bilbao</v>
      </c>
      <c r="D24" s="120">
        <f t="shared" si="0"/>
        <v>10</v>
      </c>
      <c r="E24" s="120">
        <f t="shared" si="1"/>
        <v>1</v>
      </c>
      <c r="F24" s="120">
        <f t="shared" ref="F24:F26" si="57">D24-E24-G24</f>
        <v>4</v>
      </c>
      <c r="G24" s="120">
        <f t="shared" si="2"/>
        <v>5</v>
      </c>
      <c r="H24" s="120">
        <f t="shared" si="3"/>
        <v>8</v>
      </c>
      <c r="I24" s="120">
        <f t="shared" si="4"/>
        <v>14</v>
      </c>
      <c r="J24" s="120">
        <f t="shared" ref="J24:J26" si="58">H24-I24</f>
        <v>-6</v>
      </c>
      <c r="K24" s="120">
        <f t="shared" ref="K24:K26" si="59">E24*3+F24</f>
        <v>7</v>
      </c>
      <c r="L24" s="62"/>
      <c r="M24" s="62"/>
      <c r="N24" s="62"/>
      <c r="O24" s="62"/>
      <c r="P24" s="51">
        <f>Classificação!Y32</f>
        <v>19</v>
      </c>
      <c r="Q24" s="51" t="str">
        <f>Classificação!P32</f>
        <v>Celta De Vigo</v>
      </c>
      <c r="R24" s="51">
        <f>Classificação!Q32</f>
        <v>10</v>
      </c>
      <c r="S24" s="51">
        <f>Classificação!R32</f>
        <v>8</v>
      </c>
      <c r="T24" s="51">
        <f>Classificação!S32</f>
        <v>1</v>
      </c>
      <c r="U24" s="51">
        <f>Classificação!T32</f>
        <v>1</v>
      </c>
      <c r="V24" s="51">
        <f>Classificação!U32</f>
        <v>19</v>
      </c>
      <c r="W24" s="51">
        <f>Classificação!V32</f>
        <v>4</v>
      </c>
      <c r="X24" s="51">
        <f>Classificação!W32</f>
        <v>15</v>
      </c>
      <c r="Y24" s="51">
        <f>Classificação!X32</f>
        <v>25</v>
      </c>
      <c r="Z24" s="47">
        <v>170445171695</v>
      </c>
      <c r="AA24" s="47"/>
      <c r="AB24" s="57">
        <v>19</v>
      </c>
      <c r="AC24" s="58" t="str">
        <f t="shared" si="5"/>
        <v>Celta De Vigo</v>
      </c>
      <c r="AD24" s="58">
        <f t="shared" si="6"/>
        <v>1</v>
      </c>
      <c r="AE24" s="58">
        <f t="shared" si="7"/>
        <v>1</v>
      </c>
      <c r="AF24" s="58">
        <f t="shared" ref="AF24:AF26" si="60">AD24-AE24-AG24</f>
        <v>0</v>
      </c>
      <c r="AG24" s="58">
        <f t="shared" si="8"/>
        <v>0</v>
      </c>
      <c r="AH24" s="58">
        <f t="shared" si="9"/>
        <v>3</v>
      </c>
      <c r="AI24" s="58">
        <f t="shared" si="10"/>
        <v>0</v>
      </c>
      <c r="AJ24" s="58">
        <f t="shared" ref="AJ24:AJ26" si="61">AH24-AI24</f>
        <v>3</v>
      </c>
      <c r="AK24" s="58">
        <f t="shared" ref="AK24:AK26" si="62">AE24*3+AF24</f>
        <v>3</v>
      </c>
      <c r="AL24" s="58"/>
      <c r="AM24" s="57">
        <v>19</v>
      </c>
      <c r="AN24" s="58" t="str">
        <f t="shared" si="11"/>
        <v>Celta De Vigo</v>
      </c>
      <c r="AO24" s="58">
        <f t="shared" si="12"/>
        <v>1</v>
      </c>
      <c r="AP24" s="58">
        <f t="shared" si="13"/>
        <v>1</v>
      </c>
      <c r="AQ24" s="58">
        <f t="shared" ref="AQ24:AQ26" si="63">AO24-AP24-AR24</f>
        <v>0</v>
      </c>
      <c r="AR24" s="58">
        <f t="shared" si="14"/>
        <v>0</v>
      </c>
      <c r="AS24" s="58">
        <f t="shared" si="15"/>
        <v>2</v>
      </c>
      <c r="AT24" s="58">
        <f t="shared" si="16"/>
        <v>0</v>
      </c>
      <c r="AU24" s="58">
        <f t="shared" ref="AU24:AU26" si="64">AS24-AT24</f>
        <v>2</v>
      </c>
      <c r="AV24" s="58">
        <f t="shared" ref="AV24:AV26" si="65">AP24*3+AQ24</f>
        <v>3</v>
      </c>
      <c r="AW24" s="58"/>
      <c r="AX24" s="57">
        <v>19</v>
      </c>
      <c r="AY24" s="58" t="str">
        <f t="shared" si="17"/>
        <v>Celta De Vigo</v>
      </c>
      <c r="AZ24" s="58">
        <f t="shared" si="18"/>
        <v>1</v>
      </c>
      <c r="BA24" s="58">
        <f t="shared" si="19"/>
        <v>1</v>
      </c>
      <c r="BB24" s="58">
        <f t="shared" ref="BB24:BB26" si="66">AZ24-BA24-BC24</f>
        <v>0</v>
      </c>
      <c r="BC24" s="58">
        <f t="shared" si="20"/>
        <v>0</v>
      </c>
      <c r="BD24" s="58">
        <f t="shared" si="21"/>
        <v>1</v>
      </c>
      <c r="BE24" s="58">
        <f t="shared" si="22"/>
        <v>0</v>
      </c>
      <c r="BF24" s="58">
        <f t="shared" ref="BF24:BF26" si="67">BD24-BE24</f>
        <v>1</v>
      </c>
      <c r="BG24" s="58">
        <f t="shared" ref="BG24:BG26" si="68">BA24*3+BB24</f>
        <v>3</v>
      </c>
      <c r="BH24" s="62"/>
      <c r="BI24" s="62"/>
      <c r="BJ24" s="57">
        <v>19</v>
      </c>
      <c r="BK24" s="58" t="str">
        <f t="shared" si="23"/>
        <v>Celta De Vigo</v>
      </c>
      <c r="BL24" s="58">
        <f t="shared" si="24"/>
        <v>1</v>
      </c>
      <c r="BM24" s="58">
        <f t="shared" si="25"/>
        <v>0</v>
      </c>
      <c r="BN24" s="58">
        <f t="shared" ref="BN24:BN26" si="69">BL24-BM24-BO24</f>
        <v>1</v>
      </c>
      <c r="BO24" s="58">
        <f t="shared" si="26"/>
        <v>0</v>
      </c>
      <c r="BP24" s="58">
        <f t="shared" si="27"/>
        <v>0</v>
      </c>
      <c r="BQ24" s="58">
        <f t="shared" si="28"/>
        <v>0</v>
      </c>
      <c r="BR24" s="58">
        <f t="shared" ref="BR24:BR26" si="70">BP24-BQ24</f>
        <v>0</v>
      </c>
      <c r="BS24" s="58">
        <f t="shared" ref="BS24:BS26" si="71">BM24*3+BN24</f>
        <v>1</v>
      </c>
      <c r="BT24" s="62"/>
      <c r="BU24" s="62"/>
      <c r="BV24" s="62"/>
      <c r="BW24" s="62"/>
      <c r="BX24" s="62"/>
      <c r="BY24" s="62"/>
      <c r="BZ24" s="66">
        <v>19</v>
      </c>
      <c r="CA24" s="51" t="str">
        <f t="shared" ref="CA24:CA26" si="72">Q24</f>
        <v>Celta De Vigo</v>
      </c>
      <c r="CB24" s="51">
        <f t="shared" si="55"/>
        <v>14</v>
      </c>
      <c r="CC24" s="51">
        <f t="shared" si="29"/>
        <v>11</v>
      </c>
      <c r="CD24" s="51">
        <f t="shared" si="30"/>
        <v>2</v>
      </c>
      <c r="CE24" s="51">
        <f t="shared" si="31"/>
        <v>1</v>
      </c>
      <c r="CF24" s="51">
        <f t="shared" si="32"/>
        <v>25</v>
      </c>
      <c r="CG24" s="51">
        <f t="shared" si="33"/>
        <v>4</v>
      </c>
      <c r="CH24" s="51">
        <f t="shared" si="34"/>
        <v>21</v>
      </c>
      <c r="CI24" s="51">
        <f t="shared" si="35"/>
        <v>35</v>
      </c>
      <c r="CJ24" s="62"/>
      <c r="CK24" s="63"/>
      <c r="CL24" s="42">
        <f t="shared" ref="CL24:CL26" si="73">(10^10)*CI24+(10^8)*CC24+(10^6)*(50+CH24)+(10^4)*CF24+(10^2)*CB24+(13-BZ24)</f>
        <v>351171251394</v>
      </c>
      <c r="CM24" s="63"/>
      <c r="CN24" s="63">
        <v>19</v>
      </c>
      <c r="CO24" s="42">
        <f t="shared" si="36"/>
        <v>70144081006</v>
      </c>
      <c r="CP24" s="63"/>
      <c r="CQ24" s="65">
        <v>19</v>
      </c>
      <c r="CR24" s="42">
        <f>MATCH(CO24,CL$6:CL$27,0)</f>
        <v>7</v>
      </c>
      <c r="CS24" s="63"/>
    </row>
    <row r="25" spans="2:97" ht="21" customHeight="1" x14ac:dyDescent="0.25">
      <c r="B25" s="71" t="s">
        <v>88</v>
      </c>
      <c r="C25" s="51" t="str">
        <f t="shared" si="38"/>
        <v>Everton</v>
      </c>
      <c r="D25" s="71">
        <f t="shared" si="0"/>
        <v>10</v>
      </c>
      <c r="E25" s="71">
        <f t="shared" si="1"/>
        <v>1</v>
      </c>
      <c r="F25" s="71">
        <f t="shared" si="57"/>
        <v>2</v>
      </c>
      <c r="G25" s="71">
        <f t="shared" si="2"/>
        <v>7</v>
      </c>
      <c r="H25" s="71">
        <f t="shared" si="3"/>
        <v>8</v>
      </c>
      <c r="I25" s="71">
        <f t="shared" si="4"/>
        <v>24</v>
      </c>
      <c r="J25" s="71">
        <f t="shared" si="58"/>
        <v>-16</v>
      </c>
      <c r="K25" s="71">
        <f t="shared" si="59"/>
        <v>5</v>
      </c>
      <c r="L25" s="62"/>
      <c r="M25" s="62"/>
      <c r="N25" s="62"/>
      <c r="O25" s="62"/>
      <c r="P25" s="51">
        <f>Classificação!Y33</f>
        <v>20</v>
      </c>
      <c r="Q25" s="51" t="str">
        <f>Classificação!P33</f>
        <v>Everton</v>
      </c>
      <c r="R25" s="51">
        <f>Classificação!Q33</f>
        <v>10</v>
      </c>
      <c r="S25" s="51">
        <f>Classificação!R33</f>
        <v>1</v>
      </c>
      <c r="T25" s="51">
        <f>Classificação!S33</f>
        <v>2</v>
      </c>
      <c r="U25" s="51">
        <f>Classificação!T33</f>
        <v>7</v>
      </c>
      <c r="V25" s="51">
        <f>Classificação!U33</f>
        <v>8</v>
      </c>
      <c r="W25" s="51">
        <f>Classificação!V33</f>
        <v>24</v>
      </c>
      <c r="X25" s="51">
        <f>Classificação!W33</f>
        <v>-16</v>
      </c>
      <c r="Y25" s="51">
        <f>Classificação!X33</f>
        <v>5</v>
      </c>
      <c r="Z25" s="47">
        <v>170445171695</v>
      </c>
      <c r="AA25" s="47"/>
      <c r="AB25" s="57">
        <v>20</v>
      </c>
      <c r="AC25" s="58">
        <f t="shared" si="5"/>
        <v>0</v>
      </c>
      <c r="AD25" s="58">
        <f t="shared" si="6"/>
        <v>0</v>
      </c>
      <c r="AE25" s="58">
        <f t="shared" si="7"/>
        <v>0</v>
      </c>
      <c r="AF25" s="58">
        <f t="shared" si="60"/>
        <v>0</v>
      </c>
      <c r="AG25" s="58">
        <f t="shared" si="8"/>
        <v>0</v>
      </c>
      <c r="AH25" s="58">
        <f t="shared" si="9"/>
        <v>0</v>
      </c>
      <c r="AI25" s="58">
        <f t="shared" si="10"/>
        <v>0</v>
      </c>
      <c r="AJ25" s="58">
        <f t="shared" si="61"/>
        <v>0</v>
      </c>
      <c r="AK25" s="58">
        <f t="shared" si="62"/>
        <v>0</v>
      </c>
      <c r="AL25" s="58"/>
      <c r="AM25" s="57">
        <v>20</v>
      </c>
      <c r="AN25" s="58">
        <f t="shared" si="11"/>
        <v>0</v>
      </c>
      <c r="AO25" s="58">
        <f t="shared" si="12"/>
        <v>0</v>
      </c>
      <c r="AP25" s="58">
        <f t="shared" si="13"/>
        <v>0</v>
      </c>
      <c r="AQ25" s="58">
        <f t="shared" si="63"/>
        <v>0</v>
      </c>
      <c r="AR25" s="58">
        <f t="shared" si="14"/>
        <v>0</v>
      </c>
      <c r="AS25" s="58">
        <f t="shared" si="15"/>
        <v>0</v>
      </c>
      <c r="AT25" s="58">
        <f t="shared" si="16"/>
        <v>0</v>
      </c>
      <c r="AU25" s="58">
        <f t="shared" si="64"/>
        <v>0</v>
      </c>
      <c r="AV25" s="58">
        <f t="shared" si="65"/>
        <v>0</v>
      </c>
      <c r="AW25" s="58"/>
      <c r="AX25" s="57">
        <v>20</v>
      </c>
      <c r="AY25" s="58">
        <f t="shared" si="17"/>
        <v>0</v>
      </c>
      <c r="AZ25" s="58">
        <f t="shared" si="18"/>
        <v>0</v>
      </c>
      <c r="BA25" s="58">
        <f t="shared" si="19"/>
        <v>0</v>
      </c>
      <c r="BB25" s="58">
        <f t="shared" si="66"/>
        <v>0</v>
      </c>
      <c r="BC25" s="58">
        <f t="shared" si="20"/>
        <v>0</v>
      </c>
      <c r="BD25" s="58">
        <f t="shared" si="21"/>
        <v>0</v>
      </c>
      <c r="BE25" s="58">
        <f t="shared" si="22"/>
        <v>0</v>
      </c>
      <c r="BF25" s="58">
        <f t="shared" si="67"/>
        <v>0</v>
      </c>
      <c r="BG25" s="58">
        <f t="shared" si="68"/>
        <v>0</v>
      </c>
      <c r="BH25" s="62"/>
      <c r="BI25" s="62"/>
      <c r="BJ25" s="57">
        <v>20</v>
      </c>
      <c r="BK25" s="58">
        <f t="shared" si="23"/>
        <v>0</v>
      </c>
      <c r="BL25" s="58">
        <f t="shared" si="24"/>
        <v>0</v>
      </c>
      <c r="BM25" s="58">
        <f t="shared" si="25"/>
        <v>0</v>
      </c>
      <c r="BN25" s="58">
        <f t="shared" si="69"/>
        <v>0</v>
      </c>
      <c r="BO25" s="58">
        <f t="shared" si="26"/>
        <v>0</v>
      </c>
      <c r="BP25" s="58">
        <f t="shared" si="27"/>
        <v>0</v>
      </c>
      <c r="BQ25" s="58">
        <f t="shared" si="28"/>
        <v>0</v>
      </c>
      <c r="BR25" s="58">
        <f t="shared" si="70"/>
        <v>0</v>
      </c>
      <c r="BS25" s="58">
        <f t="shared" si="71"/>
        <v>0</v>
      </c>
      <c r="BT25" s="62"/>
      <c r="BU25" s="62"/>
      <c r="BV25" s="62"/>
      <c r="BW25" s="62"/>
      <c r="BX25" s="62"/>
      <c r="BY25" s="62"/>
      <c r="BZ25" s="66">
        <v>20</v>
      </c>
      <c r="CA25" s="51" t="str">
        <f t="shared" si="72"/>
        <v>Everton</v>
      </c>
      <c r="CB25" s="51">
        <f t="shared" si="55"/>
        <v>10</v>
      </c>
      <c r="CC25" s="51">
        <f t="shared" si="29"/>
        <v>1</v>
      </c>
      <c r="CD25" s="51">
        <f t="shared" si="30"/>
        <v>2</v>
      </c>
      <c r="CE25" s="51">
        <f t="shared" si="31"/>
        <v>7</v>
      </c>
      <c r="CF25" s="51">
        <f t="shared" si="32"/>
        <v>8</v>
      </c>
      <c r="CG25" s="51">
        <f t="shared" si="33"/>
        <v>24</v>
      </c>
      <c r="CH25" s="51">
        <f t="shared" si="34"/>
        <v>-16</v>
      </c>
      <c r="CI25" s="51">
        <f t="shared" si="35"/>
        <v>5</v>
      </c>
      <c r="CJ25" s="62"/>
      <c r="CK25" s="63"/>
      <c r="CL25" s="42">
        <f t="shared" si="73"/>
        <v>50134080993</v>
      </c>
      <c r="CM25" s="63"/>
      <c r="CN25" s="63">
        <v>20</v>
      </c>
      <c r="CO25" s="42">
        <f t="shared" si="36"/>
        <v>50134080993</v>
      </c>
      <c r="CP25" s="63"/>
      <c r="CQ25" s="65">
        <v>20</v>
      </c>
      <c r="CR25" s="42">
        <f>MATCH(CO25,CL$6:CL$27,0)</f>
        <v>20</v>
      </c>
      <c r="CS25" s="63"/>
    </row>
    <row r="26" spans="2:97" ht="21" customHeight="1" x14ac:dyDescent="0.25">
      <c r="B26" s="120" t="s">
        <v>89</v>
      </c>
      <c r="C26" s="56" t="str">
        <f t="shared" si="38"/>
        <v>Galatasaray</v>
      </c>
      <c r="D26" s="120">
        <f t="shared" si="0"/>
        <v>0</v>
      </c>
      <c r="E26" s="120">
        <f t="shared" si="1"/>
        <v>0</v>
      </c>
      <c r="F26" s="120">
        <f t="shared" si="57"/>
        <v>0</v>
      </c>
      <c r="G26" s="120">
        <f t="shared" si="2"/>
        <v>0</v>
      </c>
      <c r="H26" s="120">
        <f t="shared" si="3"/>
        <v>0</v>
      </c>
      <c r="I26" s="120">
        <f t="shared" si="4"/>
        <v>0</v>
      </c>
      <c r="J26" s="120">
        <f t="shared" si="58"/>
        <v>0</v>
      </c>
      <c r="K26" s="120">
        <f t="shared" si="59"/>
        <v>0</v>
      </c>
      <c r="L26" s="62"/>
      <c r="M26" s="62"/>
      <c r="N26" s="62"/>
      <c r="O26" s="62"/>
      <c r="P26" s="51">
        <f>Classificação!Y34</f>
        <v>21</v>
      </c>
      <c r="Q26" s="51" t="str">
        <f>Classificação!P34</f>
        <v>Torino</v>
      </c>
      <c r="R26" s="51">
        <f>Classificação!Q34</f>
        <v>10</v>
      </c>
      <c r="S26" s="51">
        <f>Classificação!R34</f>
        <v>5</v>
      </c>
      <c r="T26" s="51">
        <f>Classificação!S34</f>
        <v>2</v>
      </c>
      <c r="U26" s="51">
        <f>Classificação!T34</f>
        <v>3</v>
      </c>
      <c r="V26" s="51">
        <f>Classificação!U34</f>
        <v>16</v>
      </c>
      <c r="W26" s="51">
        <f>Classificação!V34</f>
        <v>12</v>
      </c>
      <c r="X26" s="51">
        <f>Classificação!W34</f>
        <v>4</v>
      </c>
      <c r="Y26" s="51">
        <f>Classificação!X34</f>
        <v>17</v>
      </c>
      <c r="Z26" s="47">
        <v>170445171695</v>
      </c>
      <c r="AA26" s="47"/>
      <c r="AB26" s="57">
        <v>21</v>
      </c>
      <c r="AC26" s="58" t="str">
        <f t="shared" si="5"/>
        <v>Torino</v>
      </c>
      <c r="AD26" s="58">
        <f t="shared" si="6"/>
        <v>1</v>
      </c>
      <c r="AE26" s="58">
        <f t="shared" si="7"/>
        <v>1</v>
      </c>
      <c r="AF26" s="58">
        <f t="shared" si="60"/>
        <v>0</v>
      </c>
      <c r="AG26" s="58">
        <f t="shared" si="8"/>
        <v>0</v>
      </c>
      <c r="AH26" s="58">
        <f t="shared" si="9"/>
        <v>2</v>
      </c>
      <c r="AI26" s="58">
        <f t="shared" si="10"/>
        <v>0</v>
      </c>
      <c r="AJ26" s="58">
        <f t="shared" si="61"/>
        <v>2</v>
      </c>
      <c r="AK26" s="58">
        <f t="shared" si="62"/>
        <v>3</v>
      </c>
      <c r="AL26" s="58"/>
      <c r="AM26" s="57">
        <v>21</v>
      </c>
      <c r="AN26" s="58" t="str">
        <f t="shared" si="11"/>
        <v>Torino</v>
      </c>
      <c r="AO26" s="58">
        <f t="shared" si="12"/>
        <v>1</v>
      </c>
      <c r="AP26" s="58">
        <f t="shared" si="13"/>
        <v>0</v>
      </c>
      <c r="AQ26" s="58">
        <f t="shared" si="63"/>
        <v>1</v>
      </c>
      <c r="AR26" s="58">
        <f t="shared" si="14"/>
        <v>0</v>
      </c>
      <c r="AS26" s="58">
        <f t="shared" si="15"/>
        <v>1</v>
      </c>
      <c r="AT26" s="58">
        <f t="shared" si="16"/>
        <v>1</v>
      </c>
      <c r="AU26" s="58">
        <f t="shared" si="64"/>
        <v>0</v>
      </c>
      <c r="AV26" s="58">
        <f t="shared" si="65"/>
        <v>1</v>
      </c>
      <c r="AW26" s="58"/>
      <c r="AX26" s="57">
        <v>21</v>
      </c>
      <c r="AY26" s="58" t="str">
        <f t="shared" si="17"/>
        <v>Torino</v>
      </c>
      <c r="AZ26" s="58">
        <f t="shared" si="18"/>
        <v>1</v>
      </c>
      <c r="BA26" s="58">
        <f t="shared" si="19"/>
        <v>0</v>
      </c>
      <c r="BB26" s="58">
        <f t="shared" si="66"/>
        <v>0</v>
      </c>
      <c r="BC26" s="58">
        <f t="shared" si="20"/>
        <v>1</v>
      </c>
      <c r="BD26" s="58">
        <f t="shared" si="21"/>
        <v>0</v>
      </c>
      <c r="BE26" s="58">
        <f t="shared" si="22"/>
        <v>1</v>
      </c>
      <c r="BF26" s="58">
        <f t="shared" si="67"/>
        <v>-1</v>
      </c>
      <c r="BG26" s="58">
        <f t="shared" si="68"/>
        <v>0</v>
      </c>
      <c r="BH26" s="62"/>
      <c r="BI26" s="62"/>
      <c r="BJ26" s="57">
        <v>21</v>
      </c>
      <c r="BK26" s="58" t="str">
        <f t="shared" si="23"/>
        <v>Torino</v>
      </c>
      <c r="BL26" s="58">
        <f t="shared" si="24"/>
        <v>1</v>
      </c>
      <c r="BM26" s="58">
        <f t="shared" si="25"/>
        <v>0</v>
      </c>
      <c r="BN26" s="58">
        <f t="shared" si="69"/>
        <v>0</v>
      </c>
      <c r="BO26" s="58">
        <f t="shared" si="26"/>
        <v>1</v>
      </c>
      <c r="BP26" s="58">
        <f t="shared" si="27"/>
        <v>0</v>
      </c>
      <c r="BQ26" s="58">
        <f t="shared" si="28"/>
        <v>1</v>
      </c>
      <c r="BR26" s="58">
        <f t="shared" si="70"/>
        <v>-1</v>
      </c>
      <c r="BS26" s="58">
        <f t="shared" si="71"/>
        <v>0</v>
      </c>
      <c r="BT26" s="62"/>
      <c r="BU26" s="62"/>
      <c r="BV26" s="62"/>
      <c r="BW26" s="62"/>
      <c r="BX26" s="62"/>
      <c r="BY26" s="62"/>
      <c r="BZ26" s="66">
        <v>21</v>
      </c>
      <c r="CA26" s="51" t="str">
        <f t="shared" si="72"/>
        <v>Torino</v>
      </c>
      <c r="CB26" s="51">
        <f t="shared" si="55"/>
        <v>14</v>
      </c>
      <c r="CC26" s="51">
        <f t="shared" si="29"/>
        <v>6</v>
      </c>
      <c r="CD26" s="51">
        <f t="shared" si="30"/>
        <v>3</v>
      </c>
      <c r="CE26" s="51">
        <f t="shared" si="31"/>
        <v>5</v>
      </c>
      <c r="CF26" s="51">
        <f t="shared" si="32"/>
        <v>19</v>
      </c>
      <c r="CG26" s="51">
        <f t="shared" si="33"/>
        <v>15</v>
      </c>
      <c r="CH26" s="51">
        <f t="shared" si="34"/>
        <v>4</v>
      </c>
      <c r="CI26" s="51">
        <f t="shared" si="35"/>
        <v>21</v>
      </c>
      <c r="CJ26" s="62"/>
      <c r="CK26" s="63"/>
      <c r="CL26" s="42">
        <f t="shared" si="73"/>
        <v>210654191392</v>
      </c>
      <c r="CM26" s="63"/>
      <c r="CN26" s="63">
        <v>21</v>
      </c>
      <c r="CO26" s="42">
        <f t="shared" si="36"/>
        <v>50000007</v>
      </c>
      <c r="CP26" s="63"/>
      <c r="CQ26" s="65">
        <v>21</v>
      </c>
      <c r="CR26" s="42">
        <f>MATCH(CO26,CL$6:CL$27,0)</f>
        <v>6</v>
      </c>
      <c r="CS26" s="63"/>
    </row>
    <row r="27" spans="2:97" ht="21" customHeight="1" x14ac:dyDescent="0.25">
      <c r="B27" s="71" t="s">
        <v>90</v>
      </c>
      <c r="C27" s="51" t="str">
        <f t="shared" si="38"/>
        <v>W.O</v>
      </c>
      <c r="D27" s="71">
        <f t="shared" si="0"/>
        <v>0</v>
      </c>
      <c r="E27" s="71">
        <f t="shared" si="1"/>
        <v>0</v>
      </c>
      <c r="F27" s="71">
        <f t="shared" ref="F27" si="74">D27-E27-G27</f>
        <v>0</v>
      </c>
      <c r="G27" s="71">
        <f t="shared" si="2"/>
        <v>0</v>
      </c>
      <c r="H27" s="71">
        <f t="shared" si="3"/>
        <v>0</v>
      </c>
      <c r="I27" s="71">
        <f t="shared" si="4"/>
        <v>0</v>
      </c>
      <c r="J27" s="71">
        <f t="shared" ref="J27" si="75">H27-I27</f>
        <v>0</v>
      </c>
      <c r="K27" s="71">
        <f t="shared" ref="K27" si="76">E27*3+F27</f>
        <v>0</v>
      </c>
      <c r="L27" s="62"/>
      <c r="M27" s="62"/>
      <c r="N27" s="62"/>
      <c r="O27" s="62"/>
      <c r="P27" s="51">
        <f>Classificação!Y35</f>
        <v>22</v>
      </c>
      <c r="Q27" s="51" t="str">
        <f>Classificação!P35</f>
        <v>W.O</v>
      </c>
      <c r="R27" s="51">
        <f>Classificação!Q35</f>
        <v>0</v>
      </c>
      <c r="S27" s="51">
        <f>Classificação!R35</f>
        <v>0</v>
      </c>
      <c r="T27" s="51">
        <f>Classificação!S35</f>
        <v>0</v>
      </c>
      <c r="U27" s="51">
        <f>Classificação!T35</f>
        <v>0</v>
      </c>
      <c r="V27" s="51">
        <f>Classificação!U35</f>
        <v>0</v>
      </c>
      <c r="W27" s="51">
        <f>Classificação!V35</f>
        <v>0</v>
      </c>
      <c r="X27" s="51">
        <f>Classificação!W35</f>
        <v>0</v>
      </c>
      <c r="Y27" s="51">
        <f>Classificação!X35</f>
        <v>0</v>
      </c>
      <c r="Z27" s="47">
        <v>170445171695</v>
      </c>
      <c r="AA27" s="47"/>
      <c r="AB27" s="57">
        <v>22</v>
      </c>
      <c r="AC27" s="58">
        <f t="shared" si="5"/>
        <v>0</v>
      </c>
      <c r="AD27" s="58">
        <f t="shared" si="6"/>
        <v>0</v>
      </c>
      <c r="AE27" s="58">
        <f t="shared" si="7"/>
        <v>0</v>
      </c>
      <c r="AF27" s="58">
        <f t="shared" ref="AF27" si="77">AD27-AE27-AG27</f>
        <v>0</v>
      </c>
      <c r="AG27" s="58">
        <f t="shared" si="8"/>
        <v>0</v>
      </c>
      <c r="AH27" s="58">
        <f t="shared" si="9"/>
        <v>0</v>
      </c>
      <c r="AI27" s="58">
        <f t="shared" si="10"/>
        <v>0</v>
      </c>
      <c r="AJ27" s="58">
        <f t="shared" ref="AJ27" si="78">AH27-AI27</f>
        <v>0</v>
      </c>
      <c r="AK27" s="58">
        <f t="shared" ref="AK27" si="79">AE27*3+AF27</f>
        <v>0</v>
      </c>
      <c r="AL27" s="58"/>
      <c r="AM27" s="57">
        <v>22</v>
      </c>
      <c r="AN27" s="58">
        <f t="shared" si="11"/>
        <v>0</v>
      </c>
      <c r="AO27" s="58">
        <f t="shared" si="12"/>
        <v>0</v>
      </c>
      <c r="AP27" s="58">
        <f t="shared" si="13"/>
        <v>0</v>
      </c>
      <c r="AQ27" s="58">
        <f t="shared" ref="AQ27" si="80">AO27-AP27-AR27</f>
        <v>0</v>
      </c>
      <c r="AR27" s="58">
        <f t="shared" si="14"/>
        <v>0</v>
      </c>
      <c r="AS27" s="58">
        <f t="shared" si="15"/>
        <v>0</v>
      </c>
      <c r="AT27" s="58">
        <f t="shared" si="16"/>
        <v>0</v>
      </c>
      <c r="AU27" s="58">
        <f t="shared" ref="AU27" si="81">AS27-AT27</f>
        <v>0</v>
      </c>
      <c r="AV27" s="58">
        <f t="shared" ref="AV27" si="82">AP27*3+AQ27</f>
        <v>0</v>
      </c>
      <c r="AW27" s="58"/>
      <c r="AX27" s="57">
        <v>22</v>
      </c>
      <c r="AY27" s="58">
        <f t="shared" si="17"/>
        <v>0</v>
      </c>
      <c r="AZ27" s="58">
        <f t="shared" si="18"/>
        <v>0</v>
      </c>
      <c r="BA27" s="58">
        <f t="shared" si="19"/>
        <v>0</v>
      </c>
      <c r="BB27" s="58">
        <f t="shared" ref="BB27" si="83">AZ27-BA27-BC27</f>
        <v>0</v>
      </c>
      <c r="BC27" s="58">
        <f t="shared" si="20"/>
        <v>0</v>
      </c>
      <c r="BD27" s="58">
        <f t="shared" si="21"/>
        <v>0</v>
      </c>
      <c r="BE27" s="58">
        <f t="shared" si="22"/>
        <v>0</v>
      </c>
      <c r="BF27" s="58">
        <f t="shared" ref="BF27" si="84">BD27-BE27</f>
        <v>0</v>
      </c>
      <c r="BG27" s="58">
        <f t="shared" ref="BG27" si="85">BA27*3+BB27</f>
        <v>0</v>
      </c>
      <c r="BH27" s="62"/>
      <c r="BI27" s="62"/>
      <c r="BJ27" s="57">
        <v>22</v>
      </c>
      <c r="BK27" s="58">
        <f t="shared" si="23"/>
        <v>0</v>
      </c>
      <c r="BL27" s="58">
        <f t="shared" si="24"/>
        <v>0</v>
      </c>
      <c r="BM27" s="58">
        <f t="shared" si="25"/>
        <v>0</v>
      </c>
      <c r="BN27" s="58">
        <f t="shared" ref="BN27" si="86">BL27-BM27-BO27</f>
        <v>0</v>
      </c>
      <c r="BO27" s="58">
        <f t="shared" si="26"/>
        <v>0</v>
      </c>
      <c r="BP27" s="58">
        <f t="shared" si="27"/>
        <v>0</v>
      </c>
      <c r="BQ27" s="58">
        <f t="shared" si="28"/>
        <v>0</v>
      </c>
      <c r="BR27" s="58">
        <f t="shared" ref="BR27" si="87">BP27-BQ27</f>
        <v>0</v>
      </c>
      <c r="BS27" s="58">
        <f t="shared" ref="BS27" si="88">BM27*3+BN27</f>
        <v>0</v>
      </c>
      <c r="BT27" s="62"/>
      <c r="BU27" s="62"/>
      <c r="BV27" s="62"/>
      <c r="BW27" s="62"/>
      <c r="BX27" s="62"/>
      <c r="BY27" s="62"/>
      <c r="BZ27" s="66">
        <v>22</v>
      </c>
      <c r="CA27" s="51" t="str">
        <f t="shared" ref="CA27" si="89">Q27</f>
        <v>W.O</v>
      </c>
      <c r="CB27" s="51">
        <f t="shared" si="55"/>
        <v>0</v>
      </c>
      <c r="CC27" s="51">
        <f t="shared" si="29"/>
        <v>0</v>
      </c>
      <c r="CD27" s="51">
        <f t="shared" si="30"/>
        <v>0</v>
      </c>
      <c r="CE27" s="51">
        <f t="shared" si="31"/>
        <v>0</v>
      </c>
      <c r="CF27" s="51">
        <f t="shared" si="32"/>
        <v>0</v>
      </c>
      <c r="CG27" s="51">
        <f t="shared" si="33"/>
        <v>0</v>
      </c>
      <c r="CH27" s="51">
        <f t="shared" si="34"/>
        <v>0</v>
      </c>
      <c r="CI27" s="51">
        <f t="shared" si="35"/>
        <v>0</v>
      </c>
      <c r="CJ27" s="62"/>
      <c r="CK27" s="63"/>
      <c r="CL27" s="42">
        <f t="shared" ref="CL27" si="90">(10^10)*CI27+(10^8)*CC27+(10^6)*(50+CH27)+(10^4)*CF27+(10^2)*CB27+(13-BZ27)</f>
        <v>49999991</v>
      </c>
      <c r="CM27" s="63"/>
      <c r="CN27" s="63">
        <v>22</v>
      </c>
      <c r="CO27" s="42">
        <f>LARGE(CL$6:CL$27,CN27)</f>
        <v>49999991</v>
      </c>
      <c r="CP27" s="63"/>
      <c r="CQ27" s="65">
        <v>22</v>
      </c>
      <c r="CR27" s="42">
        <f>MATCH(CO27,CL$6:CL$27,0)</f>
        <v>22</v>
      </c>
      <c r="CS27" s="63"/>
    </row>
    <row r="28" spans="2:97" ht="21" customHeight="1" x14ac:dyDescent="0.35"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7"/>
      <c r="Q28" s="58"/>
      <c r="R28" s="58"/>
      <c r="S28" s="58"/>
      <c r="T28" s="58"/>
      <c r="U28" s="58"/>
      <c r="V28" s="58"/>
      <c r="W28" s="58"/>
      <c r="X28" s="58"/>
      <c r="Y28" s="58"/>
      <c r="Z28" s="47"/>
      <c r="AA28" s="47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6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62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62"/>
      <c r="BI28" s="62"/>
      <c r="BJ28" s="149"/>
      <c r="BK28" s="149"/>
      <c r="BL28" s="149"/>
      <c r="BM28" s="149"/>
      <c r="BN28" s="149"/>
      <c r="BO28" s="149"/>
      <c r="BP28" s="149"/>
      <c r="BQ28" s="149"/>
      <c r="BR28" s="149"/>
      <c r="BS28" s="149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3"/>
      <c r="CL28" s="63"/>
      <c r="CM28" s="63"/>
      <c r="CN28" s="63"/>
      <c r="CO28" s="63"/>
      <c r="CP28" s="63"/>
      <c r="CQ28" s="65"/>
      <c r="CR28" s="63"/>
      <c r="CS28" s="63"/>
    </row>
    <row r="29" spans="2:97" ht="21" customHeight="1" x14ac:dyDescent="0.35"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7"/>
      <c r="Q29" s="58"/>
      <c r="R29" s="58"/>
      <c r="S29" s="58"/>
      <c r="T29" s="58"/>
      <c r="U29" s="58"/>
      <c r="V29" s="58"/>
      <c r="W29" s="58"/>
      <c r="X29" s="58"/>
      <c r="Y29" s="58"/>
      <c r="Z29" s="47"/>
      <c r="AA29" s="47"/>
      <c r="AB29" s="168" t="s">
        <v>39</v>
      </c>
      <c r="AC29" s="168"/>
      <c r="AD29" s="168"/>
      <c r="AE29" s="168"/>
      <c r="AF29" s="168"/>
      <c r="AG29" s="168"/>
      <c r="AH29" s="168"/>
      <c r="AI29" s="168"/>
      <c r="AJ29" s="168"/>
      <c r="AK29" s="168"/>
      <c r="AL29" s="69"/>
      <c r="AM29" s="168" t="s">
        <v>34</v>
      </c>
      <c r="AN29" s="168"/>
      <c r="AO29" s="168"/>
      <c r="AP29" s="168"/>
      <c r="AQ29" s="168"/>
      <c r="AR29" s="168"/>
      <c r="AS29" s="168"/>
      <c r="AT29" s="168"/>
      <c r="AU29" s="168"/>
      <c r="AV29" s="168"/>
      <c r="AW29" s="62"/>
      <c r="AX29" s="168" t="s">
        <v>35</v>
      </c>
      <c r="AY29" s="168"/>
      <c r="AZ29" s="168"/>
      <c r="BA29" s="168"/>
      <c r="BB29" s="168"/>
      <c r="BC29" s="168"/>
      <c r="BD29" s="168"/>
      <c r="BE29" s="168"/>
      <c r="BF29" s="168"/>
      <c r="BG29" s="168"/>
      <c r="BH29" s="62"/>
      <c r="BI29" s="62"/>
      <c r="BJ29" s="168" t="s">
        <v>49</v>
      </c>
      <c r="BK29" s="168"/>
      <c r="BL29" s="168"/>
      <c r="BM29" s="168"/>
      <c r="BN29" s="168"/>
      <c r="BO29" s="168"/>
      <c r="BP29" s="168"/>
      <c r="BQ29" s="168"/>
      <c r="BR29" s="168"/>
      <c r="BS29" s="168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3"/>
      <c r="CL29" s="63"/>
      <c r="CM29" s="63"/>
      <c r="CN29" s="63"/>
      <c r="CO29" s="63"/>
      <c r="CP29" s="63"/>
      <c r="CQ29" s="63"/>
      <c r="CR29" s="63"/>
      <c r="CS29" s="63"/>
    </row>
    <row r="30" spans="2:97" ht="21" customHeight="1" x14ac:dyDescent="0.25"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59"/>
      <c r="AA30" s="62"/>
      <c r="AB30" s="54" t="s">
        <v>19</v>
      </c>
      <c r="AC30" s="54" t="s">
        <v>1</v>
      </c>
      <c r="AD30" s="54" t="s">
        <v>2</v>
      </c>
      <c r="AE30" s="54" t="s">
        <v>3</v>
      </c>
      <c r="AF30" s="54" t="s">
        <v>4</v>
      </c>
      <c r="AG30" s="54" t="s">
        <v>5</v>
      </c>
      <c r="AH30" s="54" t="s">
        <v>6</v>
      </c>
      <c r="AI30" s="54" t="s">
        <v>7</v>
      </c>
      <c r="AJ30" s="54" t="s">
        <v>8</v>
      </c>
      <c r="AK30" s="55" t="s">
        <v>9</v>
      </c>
      <c r="AL30" s="58"/>
      <c r="AM30" s="54" t="s">
        <v>19</v>
      </c>
      <c r="AN30" s="54" t="s">
        <v>1</v>
      </c>
      <c r="AO30" s="54" t="s">
        <v>2</v>
      </c>
      <c r="AP30" s="54" t="s">
        <v>3</v>
      </c>
      <c r="AQ30" s="54" t="s">
        <v>4</v>
      </c>
      <c r="AR30" s="54" t="s">
        <v>5</v>
      </c>
      <c r="AS30" s="54" t="s">
        <v>6</v>
      </c>
      <c r="AT30" s="54" t="s">
        <v>7</v>
      </c>
      <c r="AU30" s="54" t="s">
        <v>8</v>
      </c>
      <c r="AV30" s="55" t="s">
        <v>9</v>
      </c>
      <c r="AW30" s="62"/>
      <c r="AX30" s="54" t="s">
        <v>19</v>
      </c>
      <c r="AY30" s="54" t="s">
        <v>1</v>
      </c>
      <c r="AZ30" s="54" t="s">
        <v>2</v>
      </c>
      <c r="BA30" s="54" t="s">
        <v>3</v>
      </c>
      <c r="BB30" s="54" t="s">
        <v>4</v>
      </c>
      <c r="BC30" s="54" t="s">
        <v>5</v>
      </c>
      <c r="BD30" s="54" t="s">
        <v>6</v>
      </c>
      <c r="BE30" s="54" t="s">
        <v>7</v>
      </c>
      <c r="BF30" s="54" t="s">
        <v>8</v>
      </c>
      <c r="BG30" s="55" t="s">
        <v>9</v>
      </c>
      <c r="BH30" s="62"/>
      <c r="BI30" s="62"/>
      <c r="BJ30" s="54" t="s">
        <v>19</v>
      </c>
      <c r="BK30" s="54" t="s">
        <v>1</v>
      </c>
      <c r="BL30" s="54" t="s">
        <v>2</v>
      </c>
      <c r="BM30" s="54" t="s">
        <v>3</v>
      </c>
      <c r="BN30" s="54" t="s">
        <v>4</v>
      </c>
      <c r="BO30" s="54" t="s">
        <v>5</v>
      </c>
      <c r="BP30" s="54" t="s">
        <v>6</v>
      </c>
      <c r="BQ30" s="54" t="s">
        <v>7</v>
      </c>
      <c r="BR30" s="54" t="s">
        <v>8</v>
      </c>
      <c r="BS30" s="55" t="s">
        <v>9</v>
      </c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</row>
    <row r="31" spans="2:97" ht="21" customHeight="1" x14ac:dyDescent="0.25"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59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70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44">
        <f>Jogos!P260</f>
        <v>19</v>
      </c>
      <c r="AY31" s="44" t="str">
        <f>Jogos!Q260</f>
        <v>Celta De Vigo</v>
      </c>
      <c r="AZ31" s="44">
        <f>Jogos!R260</f>
        <v>1</v>
      </c>
      <c r="BA31" s="44">
        <f>Jogos!S260</f>
        <v>1</v>
      </c>
      <c r="BB31" s="44">
        <f>Jogos!T260</f>
        <v>0</v>
      </c>
      <c r="BC31" s="44">
        <f>Jogos!U260</f>
        <v>0</v>
      </c>
      <c r="BD31" s="44">
        <f>Jogos!V260</f>
        <v>1</v>
      </c>
      <c r="BE31" s="44">
        <f>Jogos!W260</f>
        <v>0</v>
      </c>
      <c r="BF31" s="44">
        <f>Jogos!X260</f>
        <v>1</v>
      </c>
      <c r="BG31" s="44">
        <f>Jogos!Y260</f>
        <v>3</v>
      </c>
      <c r="BH31" s="62"/>
      <c r="BI31" s="62"/>
      <c r="BJ31" s="44">
        <f>Jogos!P271</f>
        <v>19</v>
      </c>
      <c r="BK31" s="44" t="str">
        <f>Jogos!Q271</f>
        <v>Celta De Vigo</v>
      </c>
      <c r="BL31" s="44">
        <f>Jogos!R271</f>
        <v>1</v>
      </c>
      <c r="BM31" s="44">
        <f>Jogos!S271</f>
        <v>0</v>
      </c>
      <c r="BN31" s="44">
        <f>Jogos!T271</f>
        <v>1</v>
      </c>
      <c r="BO31" s="44">
        <f>Jogos!U271</f>
        <v>0</v>
      </c>
      <c r="BP31" s="44">
        <f>Jogos!V271</f>
        <v>0</v>
      </c>
      <c r="BQ31" s="44">
        <f>Jogos!W271</f>
        <v>0</v>
      </c>
      <c r="BR31" s="44">
        <f>Jogos!X271</f>
        <v>0</v>
      </c>
      <c r="BS31" s="44">
        <f>Jogos!Y271</f>
        <v>1</v>
      </c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</row>
    <row r="32" spans="2:97" ht="21" customHeight="1" x14ac:dyDescent="0.25"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58"/>
      <c r="AA32" s="62"/>
      <c r="AB32" s="44">
        <f>Jogos!P215</f>
        <v>4</v>
      </c>
      <c r="AC32" s="119" t="str">
        <f>Jogos!Q215</f>
        <v>Sporting</v>
      </c>
      <c r="AD32" s="44">
        <f>Jogos!R215</f>
        <v>1</v>
      </c>
      <c r="AE32" s="44">
        <f>Jogos!S215</f>
        <v>1</v>
      </c>
      <c r="AF32" s="44">
        <f>Jogos!T215</f>
        <v>0</v>
      </c>
      <c r="AG32" s="44">
        <f>Jogos!U215</f>
        <v>0</v>
      </c>
      <c r="AH32" s="44">
        <f>Jogos!V215</f>
        <v>5</v>
      </c>
      <c r="AI32" s="44">
        <f>Jogos!W215</f>
        <v>0</v>
      </c>
      <c r="AJ32" s="44">
        <f>Jogos!X215</f>
        <v>5</v>
      </c>
      <c r="AK32" s="44">
        <f>Jogos!Y215</f>
        <v>3</v>
      </c>
      <c r="AL32" s="59"/>
      <c r="AM32" s="119">
        <f>Jogos!P243</f>
        <v>19</v>
      </c>
      <c r="AN32" s="119" t="str">
        <f>Jogos!Q243</f>
        <v>Celta De Vigo</v>
      </c>
      <c r="AO32" s="119">
        <f>Jogos!R243</f>
        <v>1</v>
      </c>
      <c r="AP32" s="119">
        <f>Jogos!S243</f>
        <v>1</v>
      </c>
      <c r="AQ32" s="119">
        <f>Jogos!T243</f>
        <v>0</v>
      </c>
      <c r="AR32" s="119">
        <f>Jogos!U243</f>
        <v>0</v>
      </c>
      <c r="AS32" s="119">
        <f>Jogos!V243</f>
        <v>2</v>
      </c>
      <c r="AT32" s="119">
        <f>Jogos!W243</f>
        <v>0</v>
      </c>
      <c r="AU32" s="119">
        <f>Jogos!X243</f>
        <v>2</v>
      </c>
      <c r="AV32" s="119">
        <f>Jogos!Y243</f>
        <v>3</v>
      </c>
      <c r="AW32" s="62">
        <v>10</v>
      </c>
      <c r="AX32" s="44">
        <f>Jogos!P261</f>
        <v>4</v>
      </c>
      <c r="AY32" s="44" t="str">
        <f>Jogos!Q261</f>
        <v>Sporting</v>
      </c>
      <c r="AZ32" s="44">
        <f>Jogos!R261</f>
        <v>1</v>
      </c>
      <c r="BA32" s="44">
        <f>Jogos!S261</f>
        <v>0</v>
      </c>
      <c r="BB32" s="44">
        <f>Jogos!T261</f>
        <v>1</v>
      </c>
      <c r="BC32" s="44">
        <f>Jogos!U261</f>
        <v>0</v>
      </c>
      <c r="BD32" s="44">
        <f>Jogos!V261</f>
        <v>1</v>
      </c>
      <c r="BE32" s="44">
        <f>Jogos!W261</f>
        <v>1</v>
      </c>
      <c r="BF32" s="44">
        <f>Jogos!X261</f>
        <v>0</v>
      </c>
      <c r="BG32" s="44">
        <f>Jogos!Y261</f>
        <v>1</v>
      </c>
      <c r="BH32" s="62"/>
      <c r="BI32" s="62"/>
      <c r="BJ32" s="44">
        <f>Jogos!P272</f>
        <v>4</v>
      </c>
      <c r="BK32" s="44" t="str">
        <f>Jogos!Q272</f>
        <v>Sporting</v>
      </c>
      <c r="BL32" s="44">
        <f>Jogos!R272</f>
        <v>1</v>
      </c>
      <c r="BM32" s="44">
        <f>Jogos!S272</f>
        <v>0</v>
      </c>
      <c r="BN32" s="44">
        <f>Jogos!T272</f>
        <v>1</v>
      </c>
      <c r="BO32" s="44">
        <f>Jogos!U272</f>
        <v>0</v>
      </c>
      <c r="BP32" s="44">
        <f>Jogos!V272</f>
        <v>0</v>
      </c>
      <c r="BQ32" s="44">
        <f>Jogos!W272</f>
        <v>0</v>
      </c>
      <c r="BR32" s="44">
        <f>Jogos!X272</f>
        <v>0</v>
      </c>
      <c r="BS32" s="44">
        <f>Jogos!Y272</f>
        <v>1</v>
      </c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</row>
    <row r="33" spans="2:97" ht="21" customHeight="1" x14ac:dyDescent="0.25"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58"/>
      <c r="AA33" s="62"/>
      <c r="AB33" s="44">
        <f>Jogos!P216</f>
        <v>9</v>
      </c>
      <c r="AC33" s="119" t="str">
        <f>Jogos!Q216</f>
        <v>Beşiktaş</v>
      </c>
      <c r="AD33" s="44">
        <f>Jogos!R216</f>
        <v>1</v>
      </c>
      <c r="AE33" s="44">
        <f>Jogos!S216</f>
        <v>1</v>
      </c>
      <c r="AF33" s="44">
        <f>Jogos!T216</f>
        <v>0</v>
      </c>
      <c r="AG33" s="44">
        <f>Jogos!U216</f>
        <v>0</v>
      </c>
      <c r="AH33" s="44">
        <f>Jogos!V216</f>
        <v>3</v>
      </c>
      <c r="AI33" s="44">
        <f>Jogos!W216</f>
        <v>0</v>
      </c>
      <c r="AJ33" s="44">
        <f>Jogos!X216</f>
        <v>3</v>
      </c>
      <c r="AK33" s="44">
        <f>Jogos!Y216</f>
        <v>3</v>
      </c>
      <c r="AL33" s="59"/>
      <c r="AM33" s="119">
        <f>Jogos!P244</f>
        <v>4</v>
      </c>
      <c r="AN33" s="119" t="str">
        <f>Jogos!Q244</f>
        <v>Sporting</v>
      </c>
      <c r="AO33" s="119">
        <f>Jogos!R244</f>
        <v>1</v>
      </c>
      <c r="AP33" s="119">
        <f>Jogos!S244</f>
        <v>1</v>
      </c>
      <c r="AQ33" s="119">
        <f>Jogos!T244</f>
        <v>0</v>
      </c>
      <c r="AR33" s="119">
        <f>Jogos!U244</f>
        <v>0</v>
      </c>
      <c r="AS33" s="119">
        <f>Jogos!V244</f>
        <v>2</v>
      </c>
      <c r="AT33" s="119">
        <f>Jogos!W244</f>
        <v>1</v>
      </c>
      <c r="AU33" s="119">
        <f>Jogos!X244</f>
        <v>1</v>
      </c>
      <c r="AV33" s="119">
        <f>Jogos!Y244</f>
        <v>3</v>
      </c>
      <c r="AW33" s="62">
        <v>10</v>
      </c>
      <c r="AX33" s="44">
        <f>Jogos!P262</f>
        <v>9</v>
      </c>
      <c r="AY33" s="44" t="str">
        <f>Jogos!Q262</f>
        <v>Beşiktaş</v>
      </c>
      <c r="AZ33" s="44">
        <f>Jogos!R262</f>
        <v>1</v>
      </c>
      <c r="BA33" s="44">
        <f>Jogos!S262</f>
        <v>0</v>
      </c>
      <c r="BB33" s="44">
        <f>Jogos!T262</f>
        <v>1</v>
      </c>
      <c r="BC33" s="44">
        <f>Jogos!U262</f>
        <v>0</v>
      </c>
      <c r="BD33" s="44">
        <f>Jogos!V262</f>
        <v>1</v>
      </c>
      <c r="BE33" s="44">
        <f>Jogos!W262</f>
        <v>1</v>
      </c>
      <c r="BF33" s="44">
        <f>Jogos!X262</f>
        <v>0</v>
      </c>
      <c r="BG33" s="44">
        <f>Jogos!Y262</f>
        <v>1</v>
      </c>
      <c r="BH33" s="62"/>
      <c r="BI33" s="62"/>
      <c r="BJ33" s="44">
        <f>Jogos!P280</f>
        <v>9</v>
      </c>
      <c r="BK33" s="44" t="str">
        <f>Jogos!Q280</f>
        <v>Beşiktaş</v>
      </c>
      <c r="BL33" s="44">
        <f>Jogos!R280</f>
        <v>1</v>
      </c>
      <c r="BM33" s="44">
        <f>Jogos!S280</f>
        <v>1</v>
      </c>
      <c r="BN33" s="44">
        <f>Jogos!T280</f>
        <v>0</v>
      </c>
      <c r="BO33" s="44">
        <f>Jogos!U280</f>
        <v>0</v>
      </c>
      <c r="BP33" s="44">
        <f>Jogos!V280</f>
        <v>1</v>
      </c>
      <c r="BQ33" s="44">
        <f>Jogos!W280</f>
        <v>0</v>
      </c>
      <c r="BR33" s="44">
        <f>Jogos!X280</f>
        <v>1</v>
      </c>
      <c r="BS33" s="44">
        <f>Jogos!Y280</f>
        <v>3</v>
      </c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</row>
    <row r="34" spans="2:97" ht="21" customHeight="1" x14ac:dyDescent="0.25"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58"/>
      <c r="AA34" s="62"/>
      <c r="AB34" s="44">
        <f>Jogos!P217</f>
        <v>1</v>
      </c>
      <c r="AC34" s="119" t="str">
        <f>Jogos!Q217</f>
        <v> Atalanta</v>
      </c>
      <c r="AD34" s="44">
        <f>Jogos!R217</f>
        <v>1</v>
      </c>
      <c r="AE34" s="44">
        <f>Jogos!S217</f>
        <v>1</v>
      </c>
      <c r="AF34" s="44">
        <f>Jogos!T217</f>
        <v>0</v>
      </c>
      <c r="AG34" s="44">
        <f>Jogos!U217</f>
        <v>0</v>
      </c>
      <c r="AH34" s="44">
        <f>Jogos!V217</f>
        <v>2</v>
      </c>
      <c r="AI34" s="44">
        <f>Jogos!W217</f>
        <v>1</v>
      </c>
      <c r="AJ34" s="44">
        <f>Jogos!X217</f>
        <v>1</v>
      </c>
      <c r="AK34" s="44">
        <f>Jogos!Y217</f>
        <v>3</v>
      </c>
      <c r="AL34" s="59"/>
      <c r="AM34" s="119">
        <f>Jogos!P245</f>
        <v>9</v>
      </c>
      <c r="AN34" s="119" t="str">
        <f>Jogos!Q245</f>
        <v>Beşiktaş</v>
      </c>
      <c r="AO34" s="119">
        <f>Jogos!R245</f>
        <v>1</v>
      </c>
      <c r="AP34" s="119">
        <f>Jogos!S245</f>
        <v>1</v>
      </c>
      <c r="AQ34" s="119">
        <f>Jogos!T245</f>
        <v>0</v>
      </c>
      <c r="AR34" s="119">
        <f>Jogos!U245</f>
        <v>0</v>
      </c>
      <c r="AS34" s="119">
        <f>Jogos!V245</f>
        <v>2</v>
      </c>
      <c r="AT34" s="119">
        <f>Jogos!W245</f>
        <v>0</v>
      </c>
      <c r="AU34" s="119">
        <f>Jogos!X245</f>
        <v>2</v>
      </c>
      <c r="AV34" s="119">
        <f>Jogos!Y245</f>
        <v>3</v>
      </c>
      <c r="AW34" s="62">
        <v>10</v>
      </c>
      <c r="AX34" s="44">
        <f>Jogos!P263</f>
        <v>21</v>
      </c>
      <c r="AY34" s="44" t="str">
        <f>Jogos!Q263</f>
        <v>Torino</v>
      </c>
      <c r="AZ34" s="44">
        <f>Jogos!R263</f>
        <v>1</v>
      </c>
      <c r="BA34" s="44">
        <f>Jogos!S263</f>
        <v>0</v>
      </c>
      <c r="BB34" s="44">
        <f>Jogos!T263</f>
        <v>0</v>
      </c>
      <c r="BC34" s="44">
        <f>Jogos!U263</f>
        <v>1</v>
      </c>
      <c r="BD34" s="44">
        <f>Jogos!V263</f>
        <v>0</v>
      </c>
      <c r="BE34" s="44">
        <f>Jogos!W263</f>
        <v>1</v>
      </c>
      <c r="BF34" s="44">
        <f>Jogos!X263</f>
        <v>-1</v>
      </c>
      <c r="BG34" s="44">
        <f>Jogos!Y263</f>
        <v>0</v>
      </c>
      <c r="BH34" s="62"/>
      <c r="BI34" s="62"/>
      <c r="BJ34" s="44">
        <f>Jogos!P281</f>
        <v>21</v>
      </c>
      <c r="BK34" s="44" t="str">
        <f>Jogos!Q281</f>
        <v>Torino</v>
      </c>
      <c r="BL34" s="44">
        <f>Jogos!R281</f>
        <v>1</v>
      </c>
      <c r="BM34" s="44">
        <f>Jogos!S281</f>
        <v>0</v>
      </c>
      <c r="BN34" s="44">
        <f>Jogos!T281</f>
        <v>0</v>
      </c>
      <c r="BO34" s="44">
        <f>Jogos!U281</f>
        <v>1</v>
      </c>
      <c r="BP34" s="44">
        <f>Jogos!V281</f>
        <v>0</v>
      </c>
      <c r="BQ34" s="44">
        <f>Jogos!W281</f>
        <v>1</v>
      </c>
      <c r="BR34" s="44">
        <f>Jogos!X281</f>
        <v>-1</v>
      </c>
      <c r="BS34" s="44">
        <f>Jogos!Y281</f>
        <v>0</v>
      </c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</row>
    <row r="35" spans="2:97" ht="21" customHeight="1" x14ac:dyDescent="0.25"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58"/>
      <c r="AA35" s="62"/>
      <c r="AB35" s="44">
        <f>Jogos!P218</f>
        <v>5</v>
      </c>
      <c r="AC35" s="119" t="str">
        <f>Jogos!Q218</f>
        <v>Schalke 04</v>
      </c>
      <c r="AD35" s="44">
        <f>Jogos!R218</f>
        <v>1</v>
      </c>
      <c r="AE35" s="44">
        <f>Jogos!S218</f>
        <v>0</v>
      </c>
      <c r="AF35" s="44">
        <f>Jogos!T218</f>
        <v>1</v>
      </c>
      <c r="AG35" s="44">
        <f>Jogos!U218</f>
        <v>0</v>
      </c>
      <c r="AH35" s="44">
        <f>Jogos!V218</f>
        <v>0</v>
      </c>
      <c r="AI35" s="44">
        <f>Jogos!W218</f>
        <v>0</v>
      </c>
      <c r="AJ35" s="44">
        <f>Jogos!X218</f>
        <v>0</v>
      </c>
      <c r="AK35" s="44">
        <f>Jogos!Y218</f>
        <v>1</v>
      </c>
      <c r="AL35" s="59"/>
      <c r="AM35" s="119">
        <f>Jogos!P246</f>
        <v>1</v>
      </c>
      <c r="AN35" s="119" t="str">
        <f>Jogos!Q246</f>
        <v> Atalanta</v>
      </c>
      <c r="AO35" s="119">
        <f>Jogos!R246</f>
        <v>1</v>
      </c>
      <c r="AP35" s="119">
        <f>Jogos!S246</f>
        <v>0</v>
      </c>
      <c r="AQ35" s="119">
        <f>Jogos!T246</f>
        <v>1</v>
      </c>
      <c r="AR35" s="119">
        <f>Jogos!U246</f>
        <v>0</v>
      </c>
      <c r="AS35" s="119">
        <f>Jogos!V246</f>
        <v>1</v>
      </c>
      <c r="AT35" s="119">
        <f>Jogos!W246</f>
        <v>1</v>
      </c>
      <c r="AU35" s="119">
        <f>Jogos!X246</f>
        <v>0</v>
      </c>
      <c r="AV35" s="119">
        <f>Jogos!Y246</f>
        <v>1</v>
      </c>
      <c r="AW35" s="62">
        <v>10</v>
      </c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</row>
    <row r="36" spans="2:97" ht="21" customHeight="1" x14ac:dyDescent="0.25"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58"/>
      <c r="AA36" s="62"/>
      <c r="AB36" s="44">
        <f>Jogos!P219</f>
        <v>19</v>
      </c>
      <c r="AC36" s="119" t="str">
        <f>Jogos!Q219</f>
        <v>Celta De Vigo</v>
      </c>
      <c r="AD36" s="44">
        <f>Jogos!R219</f>
        <v>1</v>
      </c>
      <c r="AE36" s="44">
        <f>Jogos!S219</f>
        <v>1</v>
      </c>
      <c r="AF36" s="44">
        <f>Jogos!T219</f>
        <v>0</v>
      </c>
      <c r="AG36" s="44">
        <f>Jogos!U219</f>
        <v>0</v>
      </c>
      <c r="AH36" s="44">
        <f>Jogos!V219</f>
        <v>3</v>
      </c>
      <c r="AI36" s="44">
        <f>Jogos!W219</f>
        <v>0</v>
      </c>
      <c r="AJ36" s="44">
        <f>Jogos!X219</f>
        <v>3</v>
      </c>
      <c r="AK36" s="44">
        <f>Jogos!Y219</f>
        <v>3</v>
      </c>
      <c r="AL36" s="59"/>
      <c r="AM36" s="119">
        <f>Jogos!P247</f>
        <v>21</v>
      </c>
      <c r="AN36" s="119" t="str">
        <f>Jogos!Q247</f>
        <v>Torino</v>
      </c>
      <c r="AO36" s="119">
        <f>Jogos!R247</f>
        <v>1</v>
      </c>
      <c r="AP36" s="119">
        <f>Jogos!S247</f>
        <v>0</v>
      </c>
      <c r="AQ36" s="119">
        <f>Jogos!T247</f>
        <v>1</v>
      </c>
      <c r="AR36" s="119">
        <f>Jogos!U247</f>
        <v>0</v>
      </c>
      <c r="AS36" s="119">
        <f>Jogos!V247</f>
        <v>1</v>
      </c>
      <c r="AT36" s="119">
        <f>Jogos!W247</f>
        <v>1</v>
      </c>
      <c r="AU36" s="119">
        <f>Jogos!X247</f>
        <v>0</v>
      </c>
      <c r="AV36" s="119">
        <f>Jogos!Y247</f>
        <v>1</v>
      </c>
      <c r="AW36" s="62">
        <v>3</v>
      </c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</row>
    <row r="37" spans="2:97" ht="21" customHeight="1" x14ac:dyDescent="0.25"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58"/>
      <c r="AA37" s="62"/>
      <c r="AB37" s="44">
        <f>Jogos!P220</f>
        <v>13</v>
      </c>
      <c r="AC37" s="119" t="str">
        <f>Jogos!Q220</f>
        <v>P S V</v>
      </c>
      <c r="AD37" s="44">
        <f>Jogos!R220</f>
        <v>1</v>
      </c>
      <c r="AE37" s="44">
        <f>Jogos!S220</f>
        <v>0</v>
      </c>
      <c r="AF37" s="44">
        <f>Jogos!T220</f>
        <v>1</v>
      </c>
      <c r="AG37" s="44">
        <f>Jogos!U220</f>
        <v>0</v>
      </c>
      <c r="AH37" s="44">
        <f>Jogos!V220</f>
        <v>1</v>
      </c>
      <c r="AI37" s="44">
        <f>Jogos!W220</f>
        <v>1</v>
      </c>
      <c r="AJ37" s="44">
        <f>Jogos!X220</f>
        <v>0</v>
      </c>
      <c r="AK37" s="44">
        <f>Jogos!Y220</f>
        <v>1</v>
      </c>
      <c r="AL37" s="59"/>
      <c r="AM37" s="119">
        <f>Jogos!P248</f>
        <v>13</v>
      </c>
      <c r="AN37" s="119" t="str">
        <f>Jogos!Q248</f>
        <v>P S V</v>
      </c>
      <c r="AO37" s="119">
        <f>Jogos!R248</f>
        <v>1</v>
      </c>
      <c r="AP37" s="119">
        <f>Jogos!S248</f>
        <v>0</v>
      </c>
      <c r="AQ37" s="119">
        <f>Jogos!T248</f>
        <v>0</v>
      </c>
      <c r="AR37" s="119">
        <f>Jogos!U248</f>
        <v>1</v>
      </c>
      <c r="AS37" s="119">
        <f>Jogos!V248</f>
        <v>0</v>
      </c>
      <c r="AT37" s="119">
        <f>Jogos!W248</f>
        <v>2</v>
      </c>
      <c r="AU37" s="119">
        <f>Jogos!X248</f>
        <v>-2</v>
      </c>
      <c r="AV37" s="119">
        <f>Jogos!Y248</f>
        <v>0</v>
      </c>
      <c r="AW37" s="62">
        <v>3</v>
      </c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</row>
    <row r="38" spans="2:97" ht="21" customHeight="1" x14ac:dyDescent="0.25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58"/>
      <c r="AA38" s="62"/>
      <c r="AB38" s="44">
        <f>Jogos!P221</f>
        <v>14</v>
      </c>
      <c r="AC38" s="119" t="str">
        <f>Jogos!Q221</f>
        <v>Crystal Palace</v>
      </c>
      <c r="AD38" s="44">
        <f>Jogos!R221</f>
        <v>1</v>
      </c>
      <c r="AE38" s="44">
        <f>Jogos!S221</f>
        <v>0</v>
      </c>
      <c r="AF38" s="44">
        <f>Jogos!T221</f>
        <v>0</v>
      </c>
      <c r="AG38" s="44">
        <f>Jogos!U221</f>
        <v>1</v>
      </c>
      <c r="AH38" s="44">
        <f>Jogos!V221</f>
        <v>0</v>
      </c>
      <c r="AI38" s="44">
        <f>Jogos!W221</f>
        <v>2</v>
      </c>
      <c r="AJ38" s="44">
        <f>Jogos!X221</f>
        <v>-2</v>
      </c>
      <c r="AK38" s="44">
        <f>Jogos!Y221</f>
        <v>0</v>
      </c>
      <c r="AL38" s="59"/>
      <c r="AM38" s="119">
        <f>Jogos!P249</f>
        <v>5</v>
      </c>
      <c r="AN38" s="119" t="str">
        <f>Jogos!Q249</f>
        <v>Schalke 04</v>
      </c>
      <c r="AO38" s="119">
        <f>Jogos!R249</f>
        <v>1</v>
      </c>
      <c r="AP38" s="119">
        <f>Jogos!S249</f>
        <v>0</v>
      </c>
      <c r="AQ38" s="119">
        <f>Jogos!T249</f>
        <v>0</v>
      </c>
      <c r="AR38" s="119">
        <f>Jogos!U249</f>
        <v>1</v>
      </c>
      <c r="AS38" s="119">
        <f>Jogos!V249</f>
        <v>1</v>
      </c>
      <c r="AT38" s="119">
        <f>Jogos!W249</f>
        <v>2</v>
      </c>
      <c r="AU38" s="119">
        <f>Jogos!X249</f>
        <v>-1</v>
      </c>
      <c r="AV38" s="119">
        <f>Jogos!Y249</f>
        <v>0</v>
      </c>
      <c r="AW38" s="62">
        <v>3</v>
      </c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</row>
    <row r="39" spans="2:97" ht="21" customHeight="1" x14ac:dyDescent="0.25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58"/>
      <c r="AA39" s="62"/>
      <c r="AB39" s="44">
        <f>Jogos!P222</f>
        <v>21</v>
      </c>
      <c r="AC39" s="119" t="str">
        <f>Jogos!Q222</f>
        <v>Torino</v>
      </c>
      <c r="AD39" s="44">
        <f>Jogos!R222</f>
        <v>1</v>
      </c>
      <c r="AE39" s="44">
        <f>Jogos!S222</f>
        <v>1</v>
      </c>
      <c r="AF39" s="44">
        <f>Jogos!T222</f>
        <v>0</v>
      </c>
      <c r="AG39" s="44">
        <f>Jogos!U222</f>
        <v>0</v>
      </c>
      <c r="AH39" s="44">
        <f>Jogos!V222</f>
        <v>2</v>
      </c>
      <c r="AI39" s="44">
        <f>Jogos!W222</f>
        <v>0</v>
      </c>
      <c r="AJ39" s="44">
        <f>Jogos!X222</f>
        <v>2</v>
      </c>
      <c r="AK39" s="44">
        <f>Jogos!Y222</f>
        <v>3</v>
      </c>
      <c r="AL39" s="59"/>
      <c r="AM39" s="119">
        <f>Jogos!P250</f>
        <v>17</v>
      </c>
      <c r="AN39" s="119" t="str">
        <f>Jogos!Q250</f>
        <v>R B Leipzig</v>
      </c>
      <c r="AO39" s="119">
        <f>Jogos!R250</f>
        <v>1</v>
      </c>
      <c r="AP39" s="119">
        <f>Jogos!S250</f>
        <v>0</v>
      </c>
      <c r="AQ39" s="119">
        <f>Jogos!T250</f>
        <v>0</v>
      </c>
      <c r="AR39" s="119">
        <f>Jogos!U250</f>
        <v>1</v>
      </c>
      <c r="AS39" s="119">
        <f>Jogos!V250</f>
        <v>0</v>
      </c>
      <c r="AT39" s="119">
        <f>Jogos!W250</f>
        <v>2</v>
      </c>
      <c r="AU39" s="119">
        <f>Jogos!X250</f>
        <v>-2</v>
      </c>
      <c r="AV39" s="119">
        <f>Jogos!Y250</f>
        <v>0</v>
      </c>
      <c r="AW39" s="62">
        <v>3</v>
      </c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</row>
    <row r="40" spans="2:97" ht="21" customHeight="1" x14ac:dyDescent="0.25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58"/>
      <c r="AA40" s="62"/>
      <c r="AB40" s="44">
        <f>Jogos!P223</f>
        <v>16</v>
      </c>
      <c r="AC40" s="119" t="str">
        <f>Jogos!Q223</f>
        <v>Villarreal</v>
      </c>
      <c r="AD40" s="44">
        <f>Jogos!R223</f>
        <v>1</v>
      </c>
      <c r="AE40" s="44">
        <f>Jogos!S223</f>
        <v>0</v>
      </c>
      <c r="AF40" s="44">
        <f>Jogos!T223</f>
        <v>0</v>
      </c>
      <c r="AG40" s="44">
        <f>Jogos!U223</f>
        <v>1</v>
      </c>
      <c r="AH40" s="44">
        <f>Jogos!V223</f>
        <v>0</v>
      </c>
      <c r="AI40" s="44">
        <f>Jogos!W223</f>
        <v>2</v>
      </c>
      <c r="AJ40" s="44">
        <f>Jogos!X223</f>
        <v>-2</v>
      </c>
      <c r="AK40" s="44">
        <f>Jogos!Y223</f>
        <v>0</v>
      </c>
      <c r="AL40" s="70"/>
      <c r="AM40" s="44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</row>
    <row r="41" spans="2:97" ht="21" customHeight="1" x14ac:dyDescent="0.25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58"/>
      <c r="AA41" s="62"/>
      <c r="AB41" s="44">
        <f>Jogos!P224</f>
        <v>17</v>
      </c>
      <c r="AC41" s="119" t="str">
        <f>Jogos!Q224</f>
        <v>R B Leipzig</v>
      </c>
      <c r="AD41" s="44">
        <f>Jogos!R224</f>
        <v>1</v>
      </c>
      <c r="AE41" s="44">
        <f>Jogos!S224</f>
        <v>1</v>
      </c>
      <c r="AF41" s="44">
        <f>Jogos!T224</f>
        <v>0</v>
      </c>
      <c r="AG41" s="44">
        <f>Jogos!U224</f>
        <v>0</v>
      </c>
      <c r="AH41" s="44">
        <f>Jogos!V224</f>
        <v>2</v>
      </c>
      <c r="AI41" s="44">
        <f>Jogos!W224</f>
        <v>0</v>
      </c>
      <c r="AJ41" s="44">
        <f>Jogos!X224</f>
        <v>2</v>
      </c>
      <c r="AK41" s="44">
        <f>Jogos!Y224</f>
        <v>3</v>
      </c>
      <c r="AL41" s="70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</row>
    <row r="42" spans="2:97" ht="21" customHeight="1" x14ac:dyDescent="0.25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58"/>
      <c r="AA42" s="62"/>
      <c r="AB42" s="44">
        <f>Jogos!P225</f>
        <v>12</v>
      </c>
      <c r="AC42" s="119" t="str">
        <f>Jogos!Q225</f>
        <v>Sevilla</v>
      </c>
      <c r="AD42" s="44">
        <f>Jogos!R225</f>
        <v>1</v>
      </c>
      <c r="AE42" s="44">
        <f>Jogos!S225</f>
        <v>0</v>
      </c>
      <c r="AF42" s="44">
        <f>Jogos!T225</f>
        <v>1</v>
      </c>
      <c r="AG42" s="44">
        <f>Jogos!U225</f>
        <v>0</v>
      </c>
      <c r="AH42" s="44">
        <f>Jogos!V225</f>
        <v>1</v>
      </c>
      <c r="AI42" s="44">
        <f>Jogos!W225</f>
        <v>1</v>
      </c>
      <c r="AJ42" s="44">
        <f>Jogos!X225</f>
        <v>0</v>
      </c>
      <c r="AK42" s="44">
        <f>Jogos!Y225</f>
        <v>1</v>
      </c>
      <c r="AL42" s="70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</row>
    <row r="43" spans="2:97" ht="21" customHeight="1" x14ac:dyDescent="0.25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58"/>
      <c r="AA43" s="62"/>
      <c r="AB43" s="44">
        <f>Jogos!P226</f>
        <v>15</v>
      </c>
      <c r="AC43" s="119" t="str">
        <f>Jogos!Q226</f>
        <v>Borussia M</v>
      </c>
      <c r="AD43" s="44">
        <f>Jogos!R226</f>
        <v>1</v>
      </c>
      <c r="AE43" s="44">
        <f>Jogos!S226</f>
        <v>0</v>
      </c>
      <c r="AF43" s="44">
        <f>Jogos!T226</f>
        <v>0</v>
      </c>
      <c r="AG43" s="44">
        <f>Jogos!U226</f>
        <v>1</v>
      </c>
      <c r="AH43" s="44">
        <f>Jogos!V226</f>
        <v>0</v>
      </c>
      <c r="AI43" s="44">
        <f>Jogos!W226</f>
        <v>3</v>
      </c>
      <c r="AJ43" s="44">
        <f>Jogos!X226</f>
        <v>-3</v>
      </c>
      <c r="AK43" s="44">
        <f>Jogos!Y226</f>
        <v>0</v>
      </c>
      <c r="AL43" s="70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</row>
    <row r="44" spans="2:97" ht="21" customHeight="1" x14ac:dyDescent="0.25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58"/>
      <c r="AA44" s="62"/>
      <c r="AB44" s="44">
        <f>Jogos!P227</f>
        <v>2</v>
      </c>
      <c r="AC44" s="119" t="str">
        <f>Jogos!Q227</f>
        <v>Hoffenheim</v>
      </c>
      <c r="AD44" s="44">
        <f>Jogos!R227</f>
        <v>1</v>
      </c>
      <c r="AE44" s="44">
        <f>Jogos!S227</f>
        <v>0</v>
      </c>
      <c r="AF44" s="44">
        <f>Jogos!T227</f>
        <v>1</v>
      </c>
      <c r="AG44" s="44">
        <f>Jogos!U227</f>
        <v>0</v>
      </c>
      <c r="AH44" s="44">
        <f>Jogos!V227</f>
        <v>0</v>
      </c>
      <c r="AI44" s="44">
        <f>Jogos!W227</f>
        <v>5</v>
      </c>
      <c r="AJ44" s="44">
        <f>Jogos!X227</f>
        <v>-5</v>
      </c>
      <c r="AK44" s="44">
        <f>Jogos!Y227</f>
        <v>1</v>
      </c>
      <c r="AL44" s="70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</row>
    <row r="45" spans="2:97" ht="21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58"/>
      <c r="AA45" s="62"/>
      <c r="AB45" s="44">
        <f>Jogos!P228</f>
        <v>3</v>
      </c>
      <c r="AC45" s="119" t="str">
        <f>Jogos!Q228</f>
        <v>Real Sociedad</v>
      </c>
      <c r="AD45" s="44">
        <f>Jogos!R228</f>
        <v>1</v>
      </c>
      <c r="AE45" s="44">
        <f>Jogos!S228</f>
        <v>0</v>
      </c>
      <c r="AF45" s="44">
        <f>Jogos!T228</f>
        <v>0</v>
      </c>
      <c r="AG45" s="44">
        <f>Jogos!U228</f>
        <v>1</v>
      </c>
      <c r="AH45" s="44">
        <f>Jogos!V228</f>
        <v>1</v>
      </c>
      <c r="AI45" s="44">
        <f>Jogos!W228</f>
        <v>0</v>
      </c>
      <c r="AJ45" s="44">
        <f>Jogos!X228</f>
        <v>1</v>
      </c>
      <c r="AK45" s="44">
        <f>Jogos!Y228</f>
        <v>0</v>
      </c>
      <c r="AL45" s="70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</row>
    <row r="46" spans="2:97" ht="21" customHeight="1" x14ac:dyDescent="0.25"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58"/>
      <c r="AA46" s="62"/>
      <c r="AB46" s="44">
        <f>Jogos!P229</f>
        <v>10</v>
      </c>
      <c r="AC46" s="119" t="str">
        <f>Jogos!Q229</f>
        <v>West Ham</v>
      </c>
      <c r="AD46" s="44">
        <f>Jogos!R229</f>
        <v>1</v>
      </c>
      <c r="AE46" s="44">
        <f>Jogos!S229</f>
        <v>0</v>
      </c>
      <c r="AF46" s="44">
        <f>Jogos!T229</f>
        <v>0</v>
      </c>
      <c r="AG46" s="44">
        <f>Jogos!U229</f>
        <v>1</v>
      </c>
      <c r="AH46" s="44">
        <f>Jogos!V229</f>
        <v>0</v>
      </c>
      <c r="AI46" s="44">
        <f>Jogos!W229</f>
        <v>2</v>
      </c>
      <c r="AJ46" s="44">
        <f>Jogos!X229</f>
        <v>-2</v>
      </c>
      <c r="AK46" s="44">
        <f>Jogos!Y229</f>
        <v>0</v>
      </c>
      <c r="AL46" s="70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</row>
    <row r="47" spans="2:97" ht="21" customHeight="1" x14ac:dyDescent="0.25"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58"/>
      <c r="AA47" s="62"/>
      <c r="AB47" s="44">
        <f>Jogos!P230</f>
        <v>11</v>
      </c>
      <c r="AC47" s="119" t="str">
        <f>Jogos!Q230</f>
        <v>Olympique</v>
      </c>
      <c r="AD47" s="44">
        <f>Jogos!R230</f>
        <v>1</v>
      </c>
      <c r="AE47" s="44">
        <f>Jogos!S230</f>
        <v>0</v>
      </c>
      <c r="AF47" s="44">
        <f>Jogos!T230</f>
        <v>0</v>
      </c>
      <c r="AG47" s="44">
        <f>Jogos!U230</f>
        <v>1</v>
      </c>
      <c r="AH47" s="44">
        <f>Jogos!V230</f>
        <v>0</v>
      </c>
      <c r="AI47" s="44">
        <f>Jogos!W230</f>
        <v>3</v>
      </c>
      <c r="AJ47" s="44">
        <f>Jogos!X230</f>
        <v>-3</v>
      </c>
      <c r="AK47" s="44">
        <f>Jogos!Y230</f>
        <v>0</v>
      </c>
      <c r="AL47" s="70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</row>
    <row r="48" spans="2:97" ht="21" customHeight="1" x14ac:dyDescent="0.25"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45"/>
      <c r="AA48" s="62"/>
      <c r="AB48" s="44"/>
      <c r="AC48" s="62"/>
      <c r="AD48" s="62"/>
      <c r="AE48" s="62"/>
      <c r="AF48" s="62"/>
      <c r="AG48" s="62"/>
      <c r="AH48" s="62"/>
      <c r="AI48" s="62"/>
      <c r="AJ48" s="62"/>
      <c r="AK48" s="62"/>
      <c r="AL48" s="70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</row>
    <row r="49" spans="2:94" ht="21" customHeight="1" x14ac:dyDescent="0.25"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59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70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2"/>
      <c r="CO49" s="62"/>
      <c r="CP49" s="62"/>
    </row>
    <row r="50" spans="2:94" ht="21" customHeight="1" x14ac:dyDescent="0.25"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59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70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62"/>
      <c r="BX50" s="62"/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2"/>
      <c r="CO50" s="62"/>
      <c r="CP50" s="62"/>
    </row>
    <row r="51" spans="2:94" ht="21" customHeight="1" x14ac:dyDescent="0.25"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59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70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2"/>
      <c r="BV51" s="62"/>
      <c r="BW51" s="62"/>
      <c r="BX51" s="62"/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2"/>
      <c r="CO51" s="62"/>
      <c r="CP51" s="62"/>
    </row>
    <row r="52" spans="2:94" ht="21" customHeight="1" x14ac:dyDescent="0.25">
      <c r="B52" s="62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59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70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2"/>
      <c r="BV52" s="62"/>
      <c r="BW52" s="62"/>
      <c r="BX52" s="62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2"/>
      <c r="CO52" s="62"/>
      <c r="CP52" s="62"/>
    </row>
    <row r="53" spans="2:94" ht="21" customHeight="1" x14ac:dyDescent="0.25">
      <c r="Z53" s="59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70"/>
      <c r="AM53" s="62"/>
      <c r="AN53" s="62"/>
      <c r="AO53" s="62"/>
      <c r="AP53" s="62"/>
      <c r="AQ53" s="62"/>
      <c r="AR53" s="62"/>
      <c r="AS53" s="62"/>
      <c r="AT53" s="62"/>
      <c r="AU53" s="62"/>
      <c r="AV53" s="62"/>
    </row>
    <row r="54" spans="2:94" ht="21" customHeight="1" x14ac:dyDescent="0.25">
      <c r="Z54" s="59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70"/>
      <c r="AM54" s="62"/>
      <c r="AN54" s="62"/>
      <c r="AO54" s="62"/>
      <c r="AP54" s="62"/>
      <c r="AQ54" s="62"/>
      <c r="AR54" s="62"/>
      <c r="AS54" s="62"/>
      <c r="AT54" s="62"/>
      <c r="AU54" s="62"/>
      <c r="AV54" s="62"/>
    </row>
    <row r="55" spans="2:94" ht="21" customHeight="1" x14ac:dyDescent="0.25">
      <c r="Z55" s="59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</row>
    <row r="56" spans="2:94" ht="21" customHeight="1" x14ac:dyDescent="0.25">
      <c r="Z56" s="59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</row>
    <row r="57" spans="2:94" ht="21" customHeight="1" x14ac:dyDescent="0.25">
      <c r="Z57" s="59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</row>
    <row r="58" spans="2:94" ht="21" customHeight="1" x14ac:dyDescent="0.25">
      <c r="Z58" s="59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</row>
    <row r="59" spans="2:94" ht="21" customHeight="1" x14ac:dyDescent="0.25">
      <c r="Z59" s="59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</row>
    <row r="60" spans="2:94" ht="21" customHeight="1" x14ac:dyDescent="0.25">
      <c r="Z60" s="59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</row>
    <row r="61" spans="2:94" ht="21" customHeight="1" x14ac:dyDescent="0.25">
      <c r="Z61" s="59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</row>
    <row r="62" spans="2:94" ht="21" customHeight="1" x14ac:dyDescent="0.25">
      <c r="Z62" s="59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</row>
    <row r="63" spans="2:94" ht="21" customHeight="1" x14ac:dyDescent="0.25">
      <c r="Z63" s="59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</row>
    <row r="64" spans="2:94" ht="21" customHeight="1" x14ac:dyDescent="0.25"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</row>
    <row r="65" spans="26:48" ht="21" customHeight="1" x14ac:dyDescent="0.25"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</row>
    <row r="66" spans="26:48" ht="21" customHeight="1" x14ac:dyDescent="0.25"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</row>
    <row r="67" spans="26:48" ht="21" customHeight="1" x14ac:dyDescent="0.25"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</row>
    <row r="68" spans="26:48" ht="21" customHeight="1" x14ac:dyDescent="0.25"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</row>
    <row r="69" spans="26:48" ht="21" customHeight="1" x14ac:dyDescent="0.25">
      <c r="Z69" s="62"/>
    </row>
    <row r="70" spans="26:48" ht="21" customHeight="1" x14ac:dyDescent="0.25">
      <c r="Z70" s="62"/>
    </row>
  </sheetData>
  <sheetProtection algorithmName="SHA-512" hashValue="m3UjgoOLWup+ZmGNhGeTlrt5N0nBm4iKyw9Q3TmxGJpZRgIVwsSppjdpbtlYVZMENO43jkIuIuAw8SxQT1HqpQ==" saltValue="x4VvyPsSQaHegygfILZueQ==" spinCount="100000" sheet="1" objects="1" selectLockedCells="1" selectUnlockedCells="1"/>
  <mergeCells count="10">
    <mergeCell ref="AX29:BG29"/>
    <mergeCell ref="BJ29:BS29"/>
    <mergeCell ref="B2:K2"/>
    <mergeCell ref="P2:Y2"/>
    <mergeCell ref="AB2:AK2"/>
    <mergeCell ref="AX2:BG2"/>
    <mergeCell ref="BJ2:BS2"/>
    <mergeCell ref="AM2:AV2"/>
    <mergeCell ref="AM29:AV29"/>
    <mergeCell ref="AB29:AK29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37"/>
  <sheetViews>
    <sheetView topLeftCell="A76" workbookViewId="0">
      <selection activeCell="C128" sqref="C128:C137"/>
    </sheetView>
  </sheetViews>
  <sheetFormatPr defaultRowHeight="18.75" x14ac:dyDescent="0.3"/>
  <cols>
    <col min="1" max="1" width="5" style="121" customWidth="1"/>
    <col min="2" max="2" width="3.140625" style="122" customWidth="1"/>
    <col min="3" max="16384" width="9.140625" style="123"/>
  </cols>
  <sheetData>
    <row r="1" spans="1:3" x14ac:dyDescent="0.3">
      <c r="A1" s="121" t="s">
        <v>76</v>
      </c>
      <c r="B1" s="122" t="s">
        <v>101</v>
      </c>
      <c r="C1" s="123" t="s">
        <v>102</v>
      </c>
    </row>
    <row r="2" spans="1:3" x14ac:dyDescent="0.3">
      <c r="A2" s="121" t="s">
        <v>77</v>
      </c>
      <c r="B2" s="122" t="s">
        <v>101</v>
      </c>
      <c r="C2" s="123" t="s">
        <v>91</v>
      </c>
    </row>
    <row r="3" spans="1:3" x14ac:dyDescent="0.3">
      <c r="A3" s="121" t="s">
        <v>78</v>
      </c>
      <c r="B3" s="122" t="s">
        <v>101</v>
      </c>
      <c r="C3" s="123" t="s">
        <v>92</v>
      </c>
    </row>
    <row r="4" spans="1:3" x14ac:dyDescent="0.3">
      <c r="A4" s="121" t="s">
        <v>79</v>
      </c>
      <c r="B4" s="122" t="s">
        <v>101</v>
      </c>
      <c r="C4" s="123" t="s">
        <v>93</v>
      </c>
    </row>
    <row r="5" spans="1:3" x14ac:dyDescent="0.3">
      <c r="A5" s="121" t="s">
        <v>80</v>
      </c>
      <c r="B5" s="122" t="s">
        <v>101</v>
      </c>
      <c r="C5" s="123" t="s">
        <v>94</v>
      </c>
    </row>
    <row r="6" spans="1:3" x14ac:dyDescent="0.3">
      <c r="A6" s="121" t="s">
        <v>81</v>
      </c>
      <c r="B6" s="122" t="s">
        <v>101</v>
      </c>
      <c r="C6" s="123" t="s">
        <v>95</v>
      </c>
    </row>
    <row r="7" spans="1:3" x14ac:dyDescent="0.3">
      <c r="A7" s="121" t="s">
        <v>82</v>
      </c>
      <c r="B7" s="122" t="s">
        <v>101</v>
      </c>
      <c r="C7" s="123" t="s">
        <v>96</v>
      </c>
    </row>
    <row r="8" spans="1:3" x14ac:dyDescent="0.3">
      <c r="A8" s="121" t="s">
        <v>83</v>
      </c>
      <c r="B8" s="122" t="s">
        <v>101</v>
      </c>
      <c r="C8" s="123" t="s">
        <v>97</v>
      </c>
    </row>
    <row r="9" spans="1:3" x14ac:dyDescent="0.3">
      <c r="A9" s="121" t="s">
        <v>84</v>
      </c>
      <c r="B9" s="122" t="s">
        <v>101</v>
      </c>
      <c r="C9" s="123" t="s">
        <v>98</v>
      </c>
    </row>
    <row r="10" spans="1:3" x14ac:dyDescent="0.3">
      <c r="A10" s="121" t="s">
        <v>85</v>
      </c>
      <c r="B10" s="122" t="s">
        <v>101</v>
      </c>
      <c r="C10" s="123" t="s">
        <v>99</v>
      </c>
    </row>
    <row r="11" spans="1:3" x14ac:dyDescent="0.3">
      <c r="A11" s="121" t="s">
        <v>86</v>
      </c>
      <c r="B11" s="122" t="s">
        <v>101</v>
      </c>
      <c r="C11" s="123" t="s">
        <v>100</v>
      </c>
    </row>
    <row r="13" spans="1:3" x14ac:dyDescent="0.3">
      <c r="A13" s="121" t="s">
        <v>76</v>
      </c>
      <c r="B13" s="122" t="s">
        <v>101</v>
      </c>
      <c r="C13" s="123" t="s">
        <v>100</v>
      </c>
    </row>
    <row r="14" spans="1:3" x14ac:dyDescent="0.3">
      <c r="A14" s="121" t="s">
        <v>77</v>
      </c>
      <c r="B14" s="122" t="s">
        <v>101</v>
      </c>
      <c r="C14" s="123" t="s">
        <v>102</v>
      </c>
    </row>
    <row r="15" spans="1:3" x14ac:dyDescent="0.3">
      <c r="A15" s="121" t="s">
        <v>78</v>
      </c>
      <c r="B15" s="122" t="s">
        <v>101</v>
      </c>
      <c r="C15" s="123" t="s">
        <v>91</v>
      </c>
    </row>
    <row r="16" spans="1:3" x14ac:dyDescent="0.3">
      <c r="A16" s="121" t="s">
        <v>79</v>
      </c>
      <c r="B16" s="122" t="s">
        <v>101</v>
      </c>
      <c r="C16" s="123" t="s">
        <v>92</v>
      </c>
    </row>
    <row r="17" spans="1:3" x14ac:dyDescent="0.3">
      <c r="A17" s="121" t="s">
        <v>80</v>
      </c>
      <c r="B17" s="122" t="s">
        <v>101</v>
      </c>
      <c r="C17" s="123" t="s">
        <v>93</v>
      </c>
    </row>
    <row r="18" spans="1:3" x14ac:dyDescent="0.3">
      <c r="A18" s="121" t="s">
        <v>81</v>
      </c>
      <c r="B18" s="122" t="s">
        <v>101</v>
      </c>
      <c r="C18" s="123" t="s">
        <v>94</v>
      </c>
    </row>
    <row r="19" spans="1:3" x14ac:dyDescent="0.3">
      <c r="A19" s="121" t="s">
        <v>82</v>
      </c>
      <c r="B19" s="122" t="s">
        <v>101</v>
      </c>
      <c r="C19" s="123" t="s">
        <v>95</v>
      </c>
    </row>
    <row r="20" spans="1:3" x14ac:dyDescent="0.3">
      <c r="A20" s="121" t="s">
        <v>83</v>
      </c>
      <c r="B20" s="122" t="s">
        <v>101</v>
      </c>
      <c r="C20" s="123" t="s">
        <v>96</v>
      </c>
    </row>
    <row r="21" spans="1:3" x14ac:dyDescent="0.3">
      <c r="A21" s="121" t="s">
        <v>84</v>
      </c>
      <c r="B21" s="122" t="s">
        <v>101</v>
      </c>
      <c r="C21" s="123" t="s">
        <v>97</v>
      </c>
    </row>
    <row r="22" spans="1:3" x14ac:dyDescent="0.3">
      <c r="A22" s="121" t="s">
        <v>85</v>
      </c>
      <c r="B22" s="122" t="s">
        <v>101</v>
      </c>
      <c r="C22" s="123" t="s">
        <v>98</v>
      </c>
    </row>
    <row r="23" spans="1:3" x14ac:dyDescent="0.3">
      <c r="A23" s="121" t="s">
        <v>86</v>
      </c>
      <c r="B23" s="122" t="s">
        <v>101</v>
      </c>
      <c r="C23" s="123" t="s">
        <v>99</v>
      </c>
    </row>
    <row r="25" spans="1:3" x14ac:dyDescent="0.3">
      <c r="A25" s="121" t="s">
        <v>76</v>
      </c>
      <c r="B25" s="122" t="s">
        <v>101</v>
      </c>
      <c r="C25" s="123" t="s">
        <v>99</v>
      </c>
    </row>
    <row r="26" spans="1:3" x14ac:dyDescent="0.3">
      <c r="A26" s="121" t="s">
        <v>77</v>
      </c>
      <c r="B26" s="122" t="s">
        <v>101</v>
      </c>
      <c r="C26" s="123" t="s">
        <v>100</v>
      </c>
    </row>
    <row r="27" spans="1:3" x14ac:dyDescent="0.3">
      <c r="A27" s="121" t="s">
        <v>78</v>
      </c>
      <c r="B27" s="122" t="s">
        <v>101</v>
      </c>
      <c r="C27" s="123" t="s">
        <v>102</v>
      </c>
    </row>
    <row r="28" spans="1:3" x14ac:dyDescent="0.3">
      <c r="A28" s="121" t="s">
        <v>79</v>
      </c>
      <c r="B28" s="122" t="s">
        <v>101</v>
      </c>
      <c r="C28" s="123" t="s">
        <v>91</v>
      </c>
    </row>
    <row r="29" spans="1:3" x14ac:dyDescent="0.3">
      <c r="A29" s="121" t="s">
        <v>80</v>
      </c>
      <c r="B29" s="122" t="s">
        <v>101</v>
      </c>
      <c r="C29" s="123" t="s">
        <v>92</v>
      </c>
    </row>
    <row r="30" spans="1:3" x14ac:dyDescent="0.3">
      <c r="A30" s="121" t="s">
        <v>81</v>
      </c>
      <c r="B30" s="122" t="s">
        <v>101</v>
      </c>
      <c r="C30" s="123" t="s">
        <v>93</v>
      </c>
    </row>
    <row r="31" spans="1:3" x14ac:dyDescent="0.3">
      <c r="A31" s="121" t="s">
        <v>82</v>
      </c>
      <c r="B31" s="122" t="s">
        <v>101</v>
      </c>
      <c r="C31" s="123" t="s">
        <v>94</v>
      </c>
    </row>
    <row r="32" spans="1:3" x14ac:dyDescent="0.3">
      <c r="A32" s="121" t="s">
        <v>83</v>
      </c>
      <c r="B32" s="122" t="s">
        <v>101</v>
      </c>
      <c r="C32" s="123" t="s">
        <v>95</v>
      </c>
    </row>
    <row r="33" spans="1:3" x14ac:dyDescent="0.3">
      <c r="A33" s="121" t="s">
        <v>84</v>
      </c>
      <c r="B33" s="122" t="s">
        <v>101</v>
      </c>
      <c r="C33" s="123" t="s">
        <v>96</v>
      </c>
    </row>
    <row r="34" spans="1:3" x14ac:dyDescent="0.3">
      <c r="A34" s="121" t="s">
        <v>85</v>
      </c>
      <c r="B34" s="122" t="s">
        <v>101</v>
      </c>
      <c r="C34" s="123" t="s">
        <v>97</v>
      </c>
    </row>
    <row r="35" spans="1:3" x14ac:dyDescent="0.3">
      <c r="A35" s="121" t="s">
        <v>86</v>
      </c>
      <c r="B35" s="122" t="s">
        <v>101</v>
      </c>
      <c r="C35" s="123" t="s">
        <v>98</v>
      </c>
    </row>
    <row r="37" spans="1:3" x14ac:dyDescent="0.3">
      <c r="A37" s="121" t="s">
        <v>76</v>
      </c>
      <c r="B37" s="122" t="s">
        <v>101</v>
      </c>
      <c r="C37" s="123" t="s">
        <v>98</v>
      </c>
    </row>
    <row r="38" spans="1:3" x14ac:dyDescent="0.3">
      <c r="A38" s="121" t="s">
        <v>77</v>
      </c>
      <c r="B38" s="122" t="s">
        <v>101</v>
      </c>
      <c r="C38" s="123" t="s">
        <v>99</v>
      </c>
    </row>
    <row r="39" spans="1:3" x14ac:dyDescent="0.3">
      <c r="A39" s="121" t="s">
        <v>78</v>
      </c>
      <c r="B39" s="122" t="s">
        <v>101</v>
      </c>
      <c r="C39" s="123" t="s">
        <v>100</v>
      </c>
    </row>
    <row r="40" spans="1:3" x14ac:dyDescent="0.3">
      <c r="A40" s="121" t="s">
        <v>79</v>
      </c>
      <c r="B40" s="122" t="s">
        <v>101</v>
      </c>
      <c r="C40" s="123" t="s">
        <v>102</v>
      </c>
    </row>
    <row r="41" spans="1:3" x14ac:dyDescent="0.3">
      <c r="A41" s="121" t="s">
        <v>80</v>
      </c>
      <c r="B41" s="122" t="s">
        <v>101</v>
      </c>
      <c r="C41" s="123" t="s">
        <v>91</v>
      </c>
    </row>
    <row r="42" spans="1:3" x14ac:dyDescent="0.3">
      <c r="A42" s="121" t="s">
        <v>81</v>
      </c>
      <c r="B42" s="122" t="s">
        <v>101</v>
      </c>
      <c r="C42" s="123" t="s">
        <v>92</v>
      </c>
    </row>
    <row r="43" spans="1:3" x14ac:dyDescent="0.3">
      <c r="A43" s="121" t="s">
        <v>82</v>
      </c>
      <c r="B43" s="122" t="s">
        <v>101</v>
      </c>
      <c r="C43" s="123" t="s">
        <v>93</v>
      </c>
    </row>
    <row r="44" spans="1:3" x14ac:dyDescent="0.3">
      <c r="A44" s="121" t="s">
        <v>83</v>
      </c>
      <c r="B44" s="122" t="s">
        <v>101</v>
      </c>
      <c r="C44" s="123" t="s">
        <v>94</v>
      </c>
    </row>
    <row r="45" spans="1:3" x14ac:dyDescent="0.3">
      <c r="A45" s="121" t="s">
        <v>84</v>
      </c>
      <c r="B45" s="122" t="s">
        <v>101</v>
      </c>
      <c r="C45" s="123" t="s">
        <v>95</v>
      </c>
    </row>
    <row r="46" spans="1:3" x14ac:dyDescent="0.3">
      <c r="A46" s="121" t="s">
        <v>85</v>
      </c>
      <c r="B46" s="122" t="s">
        <v>101</v>
      </c>
      <c r="C46" s="123" t="s">
        <v>96</v>
      </c>
    </row>
    <row r="47" spans="1:3" x14ac:dyDescent="0.3">
      <c r="A47" s="121" t="s">
        <v>86</v>
      </c>
      <c r="B47" s="122" t="s">
        <v>101</v>
      </c>
      <c r="C47" s="123" t="s">
        <v>97</v>
      </c>
    </row>
    <row r="49" spans="1:3" x14ac:dyDescent="0.3">
      <c r="A49" s="121" t="s">
        <v>76</v>
      </c>
      <c r="B49" s="122" t="s">
        <v>101</v>
      </c>
      <c r="C49" s="123" t="s">
        <v>97</v>
      </c>
    </row>
    <row r="50" spans="1:3" x14ac:dyDescent="0.3">
      <c r="A50" s="121" t="s">
        <v>77</v>
      </c>
      <c r="B50" s="122" t="s">
        <v>101</v>
      </c>
      <c r="C50" s="123" t="s">
        <v>98</v>
      </c>
    </row>
    <row r="51" spans="1:3" x14ac:dyDescent="0.3">
      <c r="A51" s="121" t="s">
        <v>78</v>
      </c>
      <c r="B51" s="122" t="s">
        <v>101</v>
      </c>
      <c r="C51" s="123" t="s">
        <v>99</v>
      </c>
    </row>
    <row r="52" spans="1:3" x14ac:dyDescent="0.3">
      <c r="A52" s="121" t="s">
        <v>79</v>
      </c>
      <c r="B52" s="122" t="s">
        <v>101</v>
      </c>
      <c r="C52" s="123" t="s">
        <v>100</v>
      </c>
    </row>
    <row r="53" spans="1:3" x14ac:dyDescent="0.3">
      <c r="A53" s="121" t="s">
        <v>80</v>
      </c>
      <c r="B53" s="122" t="s">
        <v>101</v>
      </c>
      <c r="C53" s="123" t="s">
        <v>102</v>
      </c>
    </row>
    <row r="54" spans="1:3" x14ac:dyDescent="0.3">
      <c r="A54" s="121" t="s">
        <v>81</v>
      </c>
      <c r="B54" s="122" t="s">
        <v>101</v>
      </c>
      <c r="C54" s="123" t="s">
        <v>91</v>
      </c>
    </row>
    <row r="55" spans="1:3" x14ac:dyDescent="0.3">
      <c r="A55" s="121" t="s">
        <v>82</v>
      </c>
      <c r="B55" s="122" t="s">
        <v>101</v>
      </c>
      <c r="C55" s="123" t="s">
        <v>92</v>
      </c>
    </row>
    <row r="56" spans="1:3" x14ac:dyDescent="0.3">
      <c r="A56" s="121" t="s">
        <v>83</v>
      </c>
      <c r="B56" s="122" t="s">
        <v>101</v>
      </c>
      <c r="C56" s="123" t="s">
        <v>93</v>
      </c>
    </row>
    <row r="57" spans="1:3" x14ac:dyDescent="0.3">
      <c r="A57" s="121" t="s">
        <v>84</v>
      </c>
      <c r="B57" s="122" t="s">
        <v>101</v>
      </c>
      <c r="C57" s="123" t="s">
        <v>94</v>
      </c>
    </row>
    <row r="58" spans="1:3" x14ac:dyDescent="0.3">
      <c r="A58" s="121" t="s">
        <v>85</v>
      </c>
      <c r="B58" s="122" t="s">
        <v>101</v>
      </c>
      <c r="C58" s="123" t="s">
        <v>95</v>
      </c>
    </row>
    <row r="59" spans="1:3" x14ac:dyDescent="0.3">
      <c r="A59" s="121" t="s">
        <v>86</v>
      </c>
      <c r="B59" s="122" t="s">
        <v>101</v>
      </c>
      <c r="C59" s="123" t="s">
        <v>96</v>
      </c>
    </row>
    <row r="62" spans="1:3" x14ac:dyDescent="0.3">
      <c r="A62" s="121" t="s">
        <v>76</v>
      </c>
      <c r="B62" s="122" t="s">
        <v>101</v>
      </c>
      <c r="C62" s="123" t="s">
        <v>96</v>
      </c>
    </row>
    <row r="63" spans="1:3" x14ac:dyDescent="0.3">
      <c r="A63" s="121" t="s">
        <v>77</v>
      </c>
      <c r="B63" s="122" t="s">
        <v>101</v>
      </c>
      <c r="C63" s="123" t="s">
        <v>97</v>
      </c>
    </row>
    <row r="64" spans="1:3" x14ac:dyDescent="0.3">
      <c r="A64" s="121" t="s">
        <v>78</v>
      </c>
      <c r="B64" s="122" t="s">
        <v>101</v>
      </c>
      <c r="C64" s="123" t="s">
        <v>98</v>
      </c>
    </row>
    <row r="65" spans="1:3" x14ac:dyDescent="0.3">
      <c r="A65" s="121" t="s">
        <v>79</v>
      </c>
      <c r="B65" s="122" t="s">
        <v>101</v>
      </c>
      <c r="C65" s="123" t="s">
        <v>99</v>
      </c>
    </row>
    <row r="66" spans="1:3" x14ac:dyDescent="0.3">
      <c r="A66" s="121" t="s">
        <v>80</v>
      </c>
      <c r="B66" s="122" t="s">
        <v>101</v>
      </c>
      <c r="C66" s="123" t="s">
        <v>100</v>
      </c>
    </row>
    <row r="67" spans="1:3" x14ac:dyDescent="0.3">
      <c r="A67" s="121" t="s">
        <v>81</v>
      </c>
      <c r="B67" s="122" t="s">
        <v>101</v>
      </c>
      <c r="C67" s="123" t="s">
        <v>102</v>
      </c>
    </row>
    <row r="68" spans="1:3" x14ac:dyDescent="0.3">
      <c r="A68" s="121" t="s">
        <v>82</v>
      </c>
      <c r="B68" s="122" t="s">
        <v>101</v>
      </c>
      <c r="C68" s="123" t="s">
        <v>91</v>
      </c>
    </row>
    <row r="69" spans="1:3" x14ac:dyDescent="0.3">
      <c r="A69" s="121" t="s">
        <v>83</v>
      </c>
      <c r="B69" s="122" t="s">
        <v>101</v>
      </c>
      <c r="C69" s="123" t="s">
        <v>92</v>
      </c>
    </row>
    <row r="70" spans="1:3" x14ac:dyDescent="0.3">
      <c r="A70" s="121" t="s">
        <v>84</v>
      </c>
      <c r="B70" s="122" t="s">
        <v>101</v>
      </c>
      <c r="C70" s="123" t="s">
        <v>93</v>
      </c>
    </row>
    <row r="71" spans="1:3" x14ac:dyDescent="0.3">
      <c r="A71" s="121" t="s">
        <v>85</v>
      </c>
      <c r="B71" s="122" t="s">
        <v>101</v>
      </c>
      <c r="C71" s="123" t="s">
        <v>94</v>
      </c>
    </row>
    <row r="72" spans="1:3" x14ac:dyDescent="0.3">
      <c r="A72" s="121" t="s">
        <v>86</v>
      </c>
      <c r="B72" s="122" t="s">
        <v>101</v>
      </c>
      <c r="C72" s="123" t="s">
        <v>95</v>
      </c>
    </row>
    <row r="75" spans="1:3" x14ac:dyDescent="0.3">
      <c r="A75" s="121" t="s">
        <v>76</v>
      </c>
      <c r="B75" s="122" t="s">
        <v>101</v>
      </c>
      <c r="C75" s="123" t="s">
        <v>95</v>
      </c>
    </row>
    <row r="76" spans="1:3" x14ac:dyDescent="0.3">
      <c r="A76" s="121" t="s">
        <v>77</v>
      </c>
      <c r="B76" s="122" t="s">
        <v>101</v>
      </c>
      <c r="C76" s="123" t="s">
        <v>96</v>
      </c>
    </row>
    <row r="77" spans="1:3" x14ac:dyDescent="0.3">
      <c r="A77" s="121" t="s">
        <v>78</v>
      </c>
      <c r="B77" s="122" t="s">
        <v>101</v>
      </c>
      <c r="C77" s="123" t="s">
        <v>97</v>
      </c>
    </row>
    <row r="78" spans="1:3" x14ac:dyDescent="0.3">
      <c r="A78" s="121" t="s">
        <v>79</v>
      </c>
      <c r="B78" s="122" t="s">
        <v>101</v>
      </c>
      <c r="C78" s="123" t="s">
        <v>98</v>
      </c>
    </row>
    <row r="79" spans="1:3" x14ac:dyDescent="0.3">
      <c r="A79" s="121" t="s">
        <v>80</v>
      </c>
      <c r="B79" s="122" t="s">
        <v>101</v>
      </c>
      <c r="C79" s="123" t="s">
        <v>99</v>
      </c>
    </row>
    <row r="80" spans="1:3" x14ac:dyDescent="0.3">
      <c r="A80" s="121" t="s">
        <v>81</v>
      </c>
      <c r="B80" s="122" t="s">
        <v>101</v>
      </c>
      <c r="C80" s="123" t="s">
        <v>100</v>
      </c>
    </row>
    <row r="81" spans="1:3" x14ac:dyDescent="0.3">
      <c r="A81" s="121" t="s">
        <v>82</v>
      </c>
      <c r="B81" s="122" t="s">
        <v>101</v>
      </c>
      <c r="C81" s="123" t="s">
        <v>102</v>
      </c>
    </row>
    <row r="82" spans="1:3" x14ac:dyDescent="0.3">
      <c r="A82" s="121" t="s">
        <v>83</v>
      </c>
      <c r="B82" s="122" t="s">
        <v>101</v>
      </c>
      <c r="C82" s="123" t="s">
        <v>91</v>
      </c>
    </row>
    <row r="83" spans="1:3" x14ac:dyDescent="0.3">
      <c r="A83" s="121" t="s">
        <v>84</v>
      </c>
      <c r="B83" s="122" t="s">
        <v>101</v>
      </c>
      <c r="C83" s="123" t="s">
        <v>92</v>
      </c>
    </row>
    <row r="84" spans="1:3" x14ac:dyDescent="0.3">
      <c r="A84" s="121" t="s">
        <v>85</v>
      </c>
      <c r="B84" s="122" t="s">
        <v>101</v>
      </c>
      <c r="C84" s="123" t="s">
        <v>93</v>
      </c>
    </row>
    <row r="85" spans="1:3" x14ac:dyDescent="0.3">
      <c r="A85" s="121" t="s">
        <v>86</v>
      </c>
      <c r="B85" s="122" t="s">
        <v>101</v>
      </c>
      <c r="C85" s="123" t="s">
        <v>94</v>
      </c>
    </row>
    <row r="88" spans="1:3" x14ac:dyDescent="0.3">
      <c r="A88" s="121" t="s">
        <v>76</v>
      </c>
      <c r="B88" s="122" t="s">
        <v>101</v>
      </c>
      <c r="C88" s="123" t="s">
        <v>94</v>
      </c>
    </row>
    <row r="89" spans="1:3" x14ac:dyDescent="0.3">
      <c r="A89" s="121" t="s">
        <v>77</v>
      </c>
      <c r="B89" s="122" t="s">
        <v>101</v>
      </c>
      <c r="C89" s="123" t="s">
        <v>95</v>
      </c>
    </row>
    <row r="90" spans="1:3" x14ac:dyDescent="0.3">
      <c r="A90" s="121" t="s">
        <v>78</v>
      </c>
      <c r="B90" s="122" t="s">
        <v>101</v>
      </c>
      <c r="C90" s="123" t="s">
        <v>96</v>
      </c>
    </row>
    <row r="91" spans="1:3" x14ac:dyDescent="0.3">
      <c r="A91" s="121" t="s">
        <v>79</v>
      </c>
      <c r="B91" s="122" t="s">
        <v>101</v>
      </c>
      <c r="C91" s="123" t="s">
        <v>97</v>
      </c>
    </row>
    <row r="92" spans="1:3" x14ac:dyDescent="0.3">
      <c r="A92" s="121" t="s">
        <v>80</v>
      </c>
      <c r="B92" s="122" t="s">
        <v>101</v>
      </c>
      <c r="C92" s="123" t="s">
        <v>98</v>
      </c>
    </row>
    <row r="93" spans="1:3" x14ac:dyDescent="0.3">
      <c r="A93" s="121" t="s">
        <v>81</v>
      </c>
      <c r="B93" s="122" t="s">
        <v>101</v>
      </c>
      <c r="C93" s="123" t="s">
        <v>99</v>
      </c>
    </row>
    <row r="94" spans="1:3" x14ac:dyDescent="0.3">
      <c r="A94" s="121" t="s">
        <v>82</v>
      </c>
      <c r="B94" s="122" t="s">
        <v>101</v>
      </c>
      <c r="C94" s="123" t="s">
        <v>100</v>
      </c>
    </row>
    <row r="95" spans="1:3" x14ac:dyDescent="0.3">
      <c r="A95" s="121" t="s">
        <v>83</v>
      </c>
      <c r="B95" s="122" t="s">
        <v>101</v>
      </c>
      <c r="C95" s="123" t="s">
        <v>102</v>
      </c>
    </row>
    <row r="96" spans="1:3" x14ac:dyDescent="0.3">
      <c r="A96" s="121" t="s">
        <v>84</v>
      </c>
      <c r="B96" s="122" t="s">
        <v>101</v>
      </c>
      <c r="C96" s="123" t="s">
        <v>91</v>
      </c>
    </row>
    <row r="97" spans="1:3" x14ac:dyDescent="0.3">
      <c r="A97" s="121" t="s">
        <v>85</v>
      </c>
      <c r="B97" s="122" t="s">
        <v>101</v>
      </c>
      <c r="C97" s="123" t="s">
        <v>92</v>
      </c>
    </row>
    <row r="98" spans="1:3" x14ac:dyDescent="0.3">
      <c r="A98" s="121" t="s">
        <v>86</v>
      </c>
      <c r="B98" s="122" t="s">
        <v>101</v>
      </c>
      <c r="C98" s="123" t="s">
        <v>93</v>
      </c>
    </row>
    <row r="101" spans="1:3" x14ac:dyDescent="0.3">
      <c r="A101" s="121" t="s">
        <v>76</v>
      </c>
      <c r="B101" s="122" t="s">
        <v>101</v>
      </c>
      <c r="C101" s="123" t="s">
        <v>93</v>
      </c>
    </row>
    <row r="102" spans="1:3" x14ac:dyDescent="0.3">
      <c r="A102" s="121" t="s">
        <v>77</v>
      </c>
      <c r="B102" s="122" t="s">
        <v>101</v>
      </c>
      <c r="C102" s="123" t="s">
        <v>94</v>
      </c>
    </row>
    <row r="103" spans="1:3" x14ac:dyDescent="0.3">
      <c r="A103" s="121" t="s">
        <v>78</v>
      </c>
      <c r="B103" s="122" t="s">
        <v>101</v>
      </c>
      <c r="C103" s="123" t="s">
        <v>95</v>
      </c>
    </row>
    <row r="104" spans="1:3" x14ac:dyDescent="0.3">
      <c r="A104" s="121" t="s">
        <v>79</v>
      </c>
      <c r="B104" s="122" t="s">
        <v>101</v>
      </c>
      <c r="C104" s="123" t="s">
        <v>96</v>
      </c>
    </row>
    <row r="105" spans="1:3" x14ac:dyDescent="0.3">
      <c r="A105" s="121" t="s">
        <v>80</v>
      </c>
      <c r="B105" s="122" t="s">
        <v>101</v>
      </c>
      <c r="C105" s="123" t="s">
        <v>97</v>
      </c>
    </row>
    <row r="106" spans="1:3" x14ac:dyDescent="0.3">
      <c r="A106" s="121" t="s">
        <v>81</v>
      </c>
      <c r="B106" s="122" t="s">
        <v>101</v>
      </c>
      <c r="C106" s="123" t="s">
        <v>98</v>
      </c>
    </row>
    <row r="107" spans="1:3" x14ac:dyDescent="0.3">
      <c r="A107" s="121" t="s">
        <v>82</v>
      </c>
      <c r="B107" s="122" t="s">
        <v>101</v>
      </c>
      <c r="C107" s="123" t="s">
        <v>99</v>
      </c>
    </row>
    <row r="108" spans="1:3" x14ac:dyDescent="0.3">
      <c r="A108" s="121" t="s">
        <v>83</v>
      </c>
      <c r="B108" s="122" t="s">
        <v>101</v>
      </c>
      <c r="C108" s="123" t="s">
        <v>100</v>
      </c>
    </row>
    <row r="109" spans="1:3" x14ac:dyDescent="0.3">
      <c r="A109" s="121" t="s">
        <v>84</v>
      </c>
      <c r="B109" s="122" t="s">
        <v>101</v>
      </c>
      <c r="C109" s="123" t="s">
        <v>102</v>
      </c>
    </row>
    <row r="110" spans="1:3" x14ac:dyDescent="0.3">
      <c r="A110" s="121" t="s">
        <v>85</v>
      </c>
      <c r="B110" s="122" t="s">
        <v>101</v>
      </c>
      <c r="C110" s="123" t="s">
        <v>91</v>
      </c>
    </row>
    <row r="111" spans="1:3" x14ac:dyDescent="0.3">
      <c r="A111" s="121" t="s">
        <v>86</v>
      </c>
      <c r="B111" s="122" t="s">
        <v>101</v>
      </c>
      <c r="C111" s="123" t="s">
        <v>92</v>
      </c>
    </row>
    <row r="114" spans="1:3" x14ac:dyDescent="0.3">
      <c r="A114" s="121" t="s">
        <v>76</v>
      </c>
      <c r="B114" s="122" t="s">
        <v>101</v>
      </c>
      <c r="C114" s="123" t="s">
        <v>92</v>
      </c>
    </row>
    <row r="115" spans="1:3" x14ac:dyDescent="0.3">
      <c r="A115" s="121" t="s">
        <v>77</v>
      </c>
      <c r="B115" s="122" t="s">
        <v>101</v>
      </c>
      <c r="C115" s="123" t="s">
        <v>93</v>
      </c>
    </row>
    <row r="116" spans="1:3" x14ac:dyDescent="0.3">
      <c r="A116" s="121" t="s">
        <v>78</v>
      </c>
      <c r="B116" s="122" t="s">
        <v>101</v>
      </c>
      <c r="C116" s="123" t="s">
        <v>94</v>
      </c>
    </row>
    <row r="117" spans="1:3" x14ac:dyDescent="0.3">
      <c r="A117" s="121" t="s">
        <v>79</v>
      </c>
      <c r="B117" s="122" t="s">
        <v>101</v>
      </c>
      <c r="C117" s="123" t="s">
        <v>95</v>
      </c>
    </row>
    <row r="118" spans="1:3" x14ac:dyDescent="0.3">
      <c r="A118" s="121" t="s">
        <v>80</v>
      </c>
      <c r="B118" s="122" t="s">
        <v>101</v>
      </c>
      <c r="C118" s="123" t="s">
        <v>96</v>
      </c>
    </row>
    <row r="119" spans="1:3" x14ac:dyDescent="0.3">
      <c r="A119" s="121" t="s">
        <v>81</v>
      </c>
      <c r="B119" s="122" t="s">
        <v>101</v>
      </c>
      <c r="C119" s="123" t="s">
        <v>97</v>
      </c>
    </row>
    <row r="120" spans="1:3" x14ac:dyDescent="0.3">
      <c r="A120" s="121" t="s">
        <v>82</v>
      </c>
      <c r="B120" s="122" t="s">
        <v>101</v>
      </c>
      <c r="C120" s="123" t="s">
        <v>98</v>
      </c>
    </row>
    <row r="121" spans="1:3" x14ac:dyDescent="0.3">
      <c r="A121" s="121" t="s">
        <v>83</v>
      </c>
      <c r="B121" s="122" t="s">
        <v>101</v>
      </c>
      <c r="C121" s="123" t="s">
        <v>99</v>
      </c>
    </row>
    <row r="122" spans="1:3" x14ac:dyDescent="0.3">
      <c r="A122" s="121" t="s">
        <v>84</v>
      </c>
      <c r="B122" s="122" t="s">
        <v>101</v>
      </c>
      <c r="C122" s="123" t="s">
        <v>100</v>
      </c>
    </row>
    <row r="123" spans="1:3" x14ac:dyDescent="0.3">
      <c r="A123" s="121" t="s">
        <v>85</v>
      </c>
      <c r="B123" s="122" t="s">
        <v>101</v>
      </c>
      <c r="C123" s="123" t="s">
        <v>102</v>
      </c>
    </row>
    <row r="124" spans="1:3" x14ac:dyDescent="0.3">
      <c r="A124" s="121" t="s">
        <v>86</v>
      </c>
      <c r="B124" s="122" t="s">
        <v>101</v>
      </c>
      <c r="C124" s="123" t="s">
        <v>91</v>
      </c>
    </row>
    <row r="127" spans="1:3" x14ac:dyDescent="0.3">
      <c r="A127" s="121" t="s">
        <v>76</v>
      </c>
      <c r="B127" s="122" t="s">
        <v>101</v>
      </c>
      <c r="C127" s="123" t="s">
        <v>91</v>
      </c>
    </row>
    <row r="128" spans="1:3" x14ac:dyDescent="0.3">
      <c r="A128" s="121" t="s">
        <v>77</v>
      </c>
      <c r="B128" s="122" t="s">
        <v>101</v>
      </c>
      <c r="C128" s="123" t="s">
        <v>92</v>
      </c>
    </row>
    <row r="129" spans="1:3" x14ac:dyDescent="0.3">
      <c r="A129" s="121" t="s">
        <v>78</v>
      </c>
      <c r="B129" s="122" t="s">
        <v>101</v>
      </c>
      <c r="C129" s="123" t="s">
        <v>93</v>
      </c>
    </row>
    <row r="130" spans="1:3" x14ac:dyDescent="0.3">
      <c r="A130" s="121" t="s">
        <v>79</v>
      </c>
      <c r="B130" s="122" t="s">
        <v>101</v>
      </c>
      <c r="C130" s="123" t="s">
        <v>94</v>
      </c>
    </row>
    <row r="131" spans="1:3" x14ac:dyDescent="0.3">
      <c r="A131" s="121" t="s">
        <v>80</v>
      </c>
      <c r="B131" s="122" t="s">
        <v>101</v>
      </c>
      <c r="C131" s="123" t="s">
        <v>95</v>
      </c>
    </row>
    <row r="132" spans="1:3" x14ac:dyDescent="0.3">
      <c r="A132" s="121" t="s">
        <v>81</v>
      </c>
      <c r="B132" s="122" t="s">
        <v>101</v>
      </c>
      <c r="C132" s="123" t="s">
        <v>96</v>
      </c>
    </row>
    <row r="133" spans="1:3" x14ac:dyDescent="0.3">
      <c r="A133" s="121" t="s">
        <v>82</v>
      </c>
      <c r="B133" s="122" t="s">
        <v>101</v>
      </c>
      <c r="C133" s="123" t="s">
        <v>97</v>
      </c>
    </row>
    <row r="134" spans="1:3" x14ac:dyDescent="0.3">
      <c r="A134" s="121" t="s">
        <v>83</v>
      </c>
      <c r="B134" s="122" t="s">
        <v>101</v>
      </c>
      <c r="C134" s="123" t="s">
        <v>98</v>
      </c>
    </row>
    <row r="135" spans="1:3" x14ac:dyDescent="0.3">
      <c r="A135" s="121" t="s">
        <v>84</v>
      </c>
      <c r="B135" s="122" t="s">
        <v>101</v>
      </c>
      <c r="C135" s="123" t="s">
        <v>99</v>
      </c>
    </row>
    <row r="136" spans="1:3" x14ac:dyDescent="0.3">
      <c r="A136" s="121" t="s">
        <v>85</v>
      </c>
      <c r="B136" s="122" t="s">
        <v>101</v>
      </c>
      <c r="C136" s="123" t="s">
        <v>100</v>
      </c>
    </row>
    <row r="137" spans="1:3" x14ac:dyDescent="0.3">
      <c r="A137" s="121" t="s">
        <v>86</v>
      </c>
      <c r="B137" s="122" t="s">
        <v>101</v>
      </c>
      <c r="C137" s="123" t="s">
        <v>102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5"/>
  </cols>
  <sheetData>
    <row r="4" spans="1:9" x14ac:dyDescent="0.25">
      <c r="B4" t="s">
        <v>55</v>
      </c>
      <c r="E4" t="s">
        <v>56</v>
      </c>
      <c r="H4" t="s">
        <v>57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Geral 1º Turno</vt:lpstr>
      <vt:lpstr>Classificação</vt:lpstr>
      <vt:lpstr>Jogos</vt:lpstr>
      <vt:lpstr>Geral 2º Turno</vt:lpstr>
      <vt:lpstr>Geral</vt:lpstr>
      <vt:lpstr>TABELA 11X11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</cp:lastModifiedBy>
  <dcterms:created xsi:type="dcterms:W3CDTF">2012-03-15T20:28:09Z</dcterms:created>
  <dcterms:modified xsi:type="dcterms:W3CDTF">2019-06-11T22:24:17Z</dcterms:modified>
</cp:coreProperties>
</file>